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8606EB28-9A7F-445F-8897-E27546C4D295}" xr6:coauthVersionLast="47" xr6:coauthVersionMax="47" xr10:uidLastSave="{00000000-0000-0000-0000-000000000000}"/>
  <bookViews>
    <workbookView xWindow="-110" yWindow="-110" windowWidth="29020" windowHeight="15700" xr2:uid="{FF64AF30-3015-1142-92FA-2A2ED079457A}"/>
  </bookViews>
  <sheets>
    <sheet name="Variable_List" sheetId="2" r:id="rId1"/>
    <sheet name="SPS3" sheetId="1" r:id="rId2"/>
    <sheet name="check" sheetId="4" r:id="rId3"/>
  </sheets>
  <externalReferences>
    <externalReference r:id="rId4"/>
  </externalReferences>
  <definedNames>
    <definedName name="_xlnm._FilterDatabase" localSheetId="1" hidden="1">'SPS3'!$A$1:$K$1753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10" i="1" l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C2109" i="1"/>
  <c r="C2110" i="1" s="1"/>
  <c r="C2111" i="1" s="1"/>
  <c r="C2112" i="1" s="1"/>
  <c r="C2113" i="1" s="1"/>
  <c r="C2114" i="1" s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C2165" i="1" s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C2233" i="1" s="1"/>
  <c r="C2234" i="1" s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2313" i="1" s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B2109" i="1"/>
  <c r="K2335" i="1" a="1"/>
  <c r="K2335" i="1" s="1"/>
  <c r="J2335" i="1" a="1"/>
  <c r="J2335" i="1" s="1"/>
  <c r="I2335" i="1" a="1"/>
  <c r="I2335" i="1" s="1"/>
  <c r="H2335" i="1" a="1"/>
  <c r="H2335" i="1" s="1"/>
  <c r="G2335" i="1" a="1"/>
  <c r="G2335" i="1" s="1"/>
  <c r="F2335" i="1" a="1"/>
  <c r="F2335" i="1" s="1"/>
  <c r="K2334" i="1" a="1"/>
  <c r="K2334" i="1" s="1"/>
  <c r="J2334" i="1" a="1"/>
  <c r="J2334" i="1" s="1"/>
  <c r="I2334" i="1" a="1"/>
  <c r="I2334" i="1" s="1"/>
  <c r="H2334" i="1" a="1"/>
  <c r="H2334" i="1" s="1"/>
  <c r="G2334" i="1" a="1"/>
  <c r="G2334" i="1" s="1"/>
  <c r="F2334" i="1" a="1"/>
  <c r="F2334" i="1" s="1"/>
  <c r="K2333" i="1" a="1"/>
  <c r="K2333" i="1" s="1"/>
  <c r="J2333" i="1" a="1"/>
  <c r="J2333" i="1" s="1"/>
  <c r="I2333" i="1" a="1"/>
  <c r="I2333" i="1" s="1"/>
  <c r="H2333" i="1" a="1"/>
  <c r="H2333" i="1" s="1"/>
  <c r="G2333" i="1" a="1"/>
  <c r="G2333" i="1" s="1"/>
  <c r="F2333" i="1" a="1"/>
  <c r="F2333" i="1" s="1"/>
  <c r="K2332" i="1" a="1"/>
  <c r="K2332" i="1" s="1"/>
  <c r="J2332" i="1" a="1"/>
  <c r="J2332" i="1" s="1"/>
  <c r="I2332" i="1" a="1"/>
  <c r="I2332" i="1" s="1"/>
  <c r="H2332" i="1" a="1"/>
  <c r="H2332" i="1" s="1"/>
  <c r="G2332" i="1" a="1"/>
  <c r="G2332" i="1" s="1"/>
  <c r="F2332" i="1" a="1"/>
  <c r="F2332" i="1" s="1"/>
  <c r="K2331" i="1" a="1"/>
  <c r="K2331" i="1" s="1"/>
  <c r="J2331" i="1" a="1"/>
  <c r="J2331" i="1" s="1"/>
  <c r="I2331" i="1" a="1"/>
  <c r="I2331" i="1" s="1"/>
  <c r="H2331" i="1" a="1"/>
  <c r="H2331" i="1" s="1"/>
  <c r="G2331" i="1" a="1"/>
  <c r="G2331" i="1" s="1"/>
  <c r="F2331" i="1" a="1"/>
  <c r="F2331" i="1" s="1"/>
  <c r="K2330" i="1" a="1"/>
  <c r="K2330" i="1" s="1"/>
  <c r="J2330" i="1" a="1"/>
  <c r="J2330" i="1" s="1"/>
  <c r="I2330" i="1" a="1"/>
  <c r="I2330" i="1" s="1"/>
  <c r="H2330" i="1" a="1"/>
  <c r="H2330" i="1" s="1"/>
  <c r="G2330" i="1" a="1"/>
  <c r="G2330" i="1" s="1"/>
  <c r="F2330" i="1" a="1"/>
  <c r="F2330" i="1" s="1"/>
  <c r="K2329" i="1" a="1"/>
  <c r="K2329" i="1" s="1"/>
  <c r="J2329" i="1" a="1"/>
  <c r="J2329" i="1" s="1"/>
  <c r="I2329" i="1" a="1"/>
  <c r="I2329" i="1" s="1"/>
  <c r="H2329" i="1" a="1"/>
  <c r="H2329" i="1" s="1"/>
  <c r="G2329" i="1" a="1"/>
  <c r="G2329" i="1" s="1"/>
  <c r="F2329" i="1" a="1"/>
  <c r="F2329" i="1" s="1"/>
  <c r="K2328" i="1" a="1"/>
  <c r="K2328" i="1" s="1"/>
  <c r="J2328" i="1" a="1"/>
  <c r="J2328" i="1" s="1"/>
  <c r="I2328" i="1" a="1"/>
  <c r="I2328" i="1" s="1"/>
  <c r="H2328" i="1" a="1"/>
  <c r="H2328" i="1" s="1"/>
  <c r="G2328" i="1" a="1"/>
  <c r="G2328" i="1" s="1"/>
  <c r="F2328" i="1" a="1"/>
  <c r="F2328" i="1" s="1"/>
  <c r="K2327" i="1" a="1"/>
  <c r="K2327" i="1" s="1"/>
  <c r="J2327" i="1" a="1"/>
  <c r="J2327" i="1" s="1"/>
  <c r="I2327" i="1" a="1"/>
  <c r="I2327" i="1" s="1"/>
  <c r="H2327" i="1" a="1"/>
  <c r="H2327" i="1" s="1"/>
  <c r="G2327" i="1" a="1"/>
  <c r="G2327" i="1" s="1"/>
  <c r="F2327" i="1" a="1"/>
  <c r="F2327" i="1" s="1"/>
  <c r="K2326" i="1" a="1"/>
  <c r="K2326" i="1" s="1"/>
  <c r="J2326" i="1" a="1"/>
  <c r="J2326" i="1" s="1"/>
  <c r="I2326" i="1" a="1"/>
  <c r="I2326" i="1" s="1"/>
  <c r="H2326" i="1" a="1"/>
  <c r="H2326" i="1" s="1"/>
  <c r="G2326" i="1" a="1"/>
  <c r="G2326" i="1" s="1"/>
  <c r="F2326" i="1" a="1"/>
  <c r="F2326" i="1" s="1"/>
  <c r="K2325" i="1" a="1"/>
  <c r="K2325" i="1" s="1"/>
  <c r="J2325" i="1" a="1"/>
  <c r="J2325" i="1" s="1"/>
  <c r="I2325" i="1" a="1"/>
  <c r="I2325" i="1" s="1"/>
  <c r="H2325" i="1" a="1"/>
  <c r="H2325" i="1" s="1"/>
  <c r="G2325" i="1" a="1"/>
  <c r="G2325" i="1" s="1"/>
  <c r="F2325" i="1" a="1"/>
  <c r="F2325" i="1" s="1"/>
  <c r="K2324" i="1" a="1"/>
  <c r="K2324" i="1" s="1"/>
  <c r="J2324" i="1" a="1"/>
  <c r="J2324" i="1" s="1"/>
  <c r="I2324" i="1" a="1"/>
  <c r="I2324" i="1" s="1"/>
  <c r="H2324" i="1" a="1"/>
  <c r="H2324" i="1" s="1"/>
  <c r="G2324" i="1" a="1"/>
  <c r="G2324" i="1" s="1"/>
  <c r="F2324" i="1" a="1"/>
  <c r="F2324" i="1" s="1"/>
  <c r="K2323" i="1" a="1"/>
  <c r="K2323" i="1" s="1"/>
  <c r="J2323" i="1" a="1"/>
  <c r="J2323" i="1" s="1"/>
  <c r="I2323" i="1" a="1"/>
  <c r="I2323" i="1" s="1"/>
  <c r="H2323" i="1" a="1"/>
  <c r="H2323" i="1" s="1"/>
  <c r="G2323" i="1" a="1"/>
  <c r="G2323" i="1" s="1"/>
  <c r="F2323" i="1" a="1"/>
  <c r="F2323" i="1" s="1"/>
  <c r="K2322" i="1" a="1"/>
  <c r="K2322" i="1" s="1"/>
  <c r="J2322" i="1" a="1"/>
  <c r="J2322" i="1" s="1"/>
  <c r="I2322" i="1" a="1"/>
  <c r="I2322" i="1" s="1"/>
  <c r="H2322" i="1" a="1"/>
  <c r="H2322" i="1" s="1"/>
  <c r="G2322" i="1" a="1"/>
  <c r="G2322" i="1" s="1"/>
  <c r="F2322" i="1" a="1"/>
  <c r="F2322" i="1" s="1"/>
  <c r="K2321" i="1" a="1"/>
  <c r="K2321" i="1" s="1"/>
  <c r="J2321" i="1" a="1"/>
  <c r="J2321" i="1" s="1"/>
  <c r="I2321" i="1" a="1"/>
  <c r="I2321" i="1" s="1"/>
  <c r="H2321" i="1" a="1"/>
  <c r="H2321" i="1" s="1"/>
  <c r="G2321" i="1" a="1"/>
  <c r="G2321" i="1" s="1"/>
  <c r="F2321" i="1" a="1"/>
  <c r="F2321" i="1" s="1"/>
  <c r="K2320" i="1" a="1"/>
  <c r="K2320" i="1" s="1"/>
  <c r="J2320" i="1" a="1"/>
  <c r="J2320" i="1" s="1"/>
  <c r="I2320" i="1" a="1"/>
  <c r="I2320" i="1" s="1"/>
  <c r="H2320" i="1" a="1"/>
  <c r="H2320" i="1" s="1"/>
  <c r="G2320" i="1" a="1"/>
  <c r="G2320" i="1" s="1"/>
  <c r="F2320" i="1" a="1"/>
  <c r="F2320" i="1" s="1"/>
  <c r="K2318" i="1" a="1"/>
  <c r="K2318" i="1" s="1"/>
  <c r="K2317" i="1" s="1" a="1"/>
  <c r="K2317" i="1" s="1"/>
  <c r="K2316" i="1" s="1"/>
  <c r="J2318" i="1" a="1"/>
  <c r="J2318" i="1" s="1"/>
  <c r="J2317" i="1" s="1" a="1"/>
  <c r="J2317" i="1" s="1"/>
  <c r="J2316" i="1" s="1"/>
  <c r="I2318" i="1" a="1"/>
  <c r="I2318" i="1" s="1"/>
  <c r="I2317" i="1" s="1" a="1"/>
  <c r="I2317" i="1" s="1"/>
  <c r="I2316" i="1" s="1"/>
  <c r="H2318" i="1" a="1"/>
  <c r="H2318" i="1" s="1"/>
  <c r="H2317" i="1" s="1" a="1"/>
  <c r="H2317" i="1" s="1"/>
  <c r="H2316" i="1" s="1"/>
  <c r="G2318" i="1" a="1"/>
  <c r="G2318" i="1" s="1"/>
  <c r="G2317" i="1" s="1" a="1"/>
  <c r="G2317" i="1" s="1"/>
  <c r="G2316" i="1" s="1"/>
  <c r="F2318" i="1" a="1"/>
  <c r="F2318" i="1" s="1"/>
  <c r="F2317" i="1" s="1" a="1"/>
  <c r="F2317" i="1" s="1"/>
  <c r="F2316" i="1" s="1"/>
  <c r="K2315" i="1" a="1"/>
  <c r="K2315" i="1" s="1"/>
  <c r="K2314" i="1" s="1" a="1"/>
  <c r="K2314" i="1" s="1"/>
  <c r="K2313" i="1" s="1"/>
  <c r="J2315" i="1" a="1"/>
  <c r="J2315" i="1" s="1"/>
  <c r="J2314" i="1" s="1" a="1"/>
  <c r="J2314" i="1" s="1"/>
  <c r="J2313" i="1" s="1"/>
  <c r="I2315" i="1" a="1"/>
  <c r="I2315" i="1" s="1"/>
  <c r="I2314" i="1" s="1" a="1"/>
  <c r="I2314" i="1" s="1"/>
  <c r="I2313" i="1" s="1"/>
  <c r="H2315" i="1" a="1"/>
  <c r="H2315" i="1" s="1"/>
  <c r="H2314" i="1" s="1" a="1"/>
  <c r="H2314" i="1" s="1"/>
  <c r="H2313" i="1" s="1"/>
  <c r="G2315" i="1" a="1"/>
  <c r="G2315" i="1" s="1"/>
  <c r="G2314" i="1" s="1" a="1"/>
  <c r="G2314" i="1" s="1"/>
  <c r="G2313" i="1" s="1"/>
  <c r="F2315" i="1" a="1"/>
  <c r="F2315" i="1" s="1"/>
  <c r="F2314" i="1" s="1" a="1"/>
  <c r="F2314" i="1" s="1"/>
  <c r="F2313" i="1" s="1"/>
  <c r="K2312" i="1" a="1"/>
  <c r="K2312" i="1" s="1"/>
  <c r="J2312" i="1" a="1"/>
  <c r="J2312" i="1" s="1"/>
  <c r="I2312" i="1" a="1"/>
  <c r="I2312" i="1" s="1"/>
  <c r="H2312" i="1" a="1"/>
  <c r="H2312" i="1" s="1"/>
  <c r="G2312" i="1" a="1"/>
  <c r="G2312" i="1" s="1"/>
  <c r="F2312" i="1" a="1"/>
  <c r="F2312" i="1" s="1"/>
  <c r="K2311" i="1" a="1"/>
  <c r="K2311" i="1" s="1"/>
  <c r="J2311" i="1" a="1"/>
  <c r="J2311" i="1" s="1"/>
  <c r="I2311" i="1" a="1"/>
  <c r="I2311" i="1" s="1"/>
  <c r="H2311" i="1" a="1"/>
  <c r="H2311" i="1" s="1"/>
  <c r="G2311" i="1" a="1"/>
  <c r="G2311" i="1" s="1"/>
  <c r="F2311" i="1" a="1"/>
  <c r="F2311" i="1" s="1"/>
  <c r="K2309" i="1" a="1"/>
  <c r="K2309" i="1" s="1"/>
  <c r="J2309" i="1" a="1"/>
  <c r="J2309" i="1" s="1"/>
  <c r="I2309" i="1" a="1"/>
  <c r="I2309" i="1" s="1"/>
  <c r="H2309" i="1" a="1"/>
  <c r="H2309" i="1" s="1"/>
  <c r="G2309" i="1" a="1"/>
  <c r="G2309" i="1" s="1"/>
  <c r="F2309" i="1" a="1"/>
  <c r="F2309" i="1" s="1"/>
  <c r="K2307" i="1" a="1"/>
  <c r="K2307" i="1" s="1"/>
  <c r="K2306" i="1" s="1"/>
  <c r="J2307" i="1" a="1"/>
  <c r="J2307" i="1" s="1"/>
  <c r="J2306" i="1" s="1"/>
  <c r="I2307" i="1" a="1"/>
  <c r="I2307" i="1" s="1"/>
  <c r="I2306" i="1" s="1"/>
  <c r="H2307" i="1" a="1"/>
  <c r="H2307" i="1" s="1"/>
  <c r="H2306" i="1" s="1"/>
  <c r="G2307" i="1" a="1"/>
  <c r="G2307" i="1" s="1"/>
  <c r="G2306" i="1" s="1"/>
  <c r="F2307" i="1" a="1"/>
  <c r="F2307" i="1" s="1"/>
  <c r="F2306" i="1" s="1"/>
  <c r="K2305" i="1" a="1"/>
  <c r="K2305" i="1" s="1"/>
  <c r="K2304" i="1" s="1"/>
  <c r="J2305" i="1" a="1"/>
  <c r="J2305" i="1" s="1"/>
  <c r="J2304" i="1" s="1"/>
  <c r="I2305" i="1" a="1"/>
  <c r="I2305" i="1" s="1"/>
  <c r="I2304" i="1" s="1"/>
  <c r="H2305" i="1" a="1"/>
  <c r="H2305" i="1" s="1"/>
  <c r="H2304" i="1" s="1"/>
  <c r="G2305" i="1" a="1"/>
  <c r="G2305" i="1" s="1"/>
  <c r="G2304" i="1" s="1"/>
  <c r="F2305" i="1" a="1"/>
  <c r="F2305" i="1" s="1"/>
  <c r="F2304" i="1" s="1"/>
  <c r="K2303" i="1" a="1"/>
  <c r="K2303" i="1" s="1"/>
  <c r="K2302" i="1" s="1"/>
  <c r="J2303" i="1" a="1"/>
  <c r="J2303" i="1" s="1"/>
  <c r="J2302" i="1" s="1"/>
  <c r="I2303" i="1" a="1"/>
  <c r="I2303" i="1" s="1"/>
  <c r="I2302" i="1" s="1"/>
  <c r="H2303" i="1" a="1"/>
  <c r="H2303" i="1" s="1"/>
  <c r="H2302" i="1" s="1"/>
  <c r="G2303" i="1" a="1"/>
  <c r="G2303" i="1" s="1"/>
  <c r="G2302" i="1" s="1"/>
  <c r="F2303" i="1" a="1"/>
  <c r="F2303" i="1" s="1"/>
  <c r="F2302" i="1" s="1"/>
  <c r="K2301" i="1" a="1"/>
  <c r="K2301" i="1" s="1"/>
  <c r="K2300" i="1" s="1"/>
  <c r="J2301" i="1" a="1"/>
  <c r="J2301" i="1" s="1"/>
  <c r="J2300" i="1" s="1"/>
  <c r="I2301" i="1" a="1"/>
  <c r="I2301" i="1" s="1"/>
  <c r="I2300" i="1" s="1"/>
  <c r="H2301" i="1" a="1"/>
  <c r="H2301" i="1" s="1"/>
  <c r="H2300" i="1" s="1"/>
  <c r="G2301" i="1" a="1"/>
  <c r="G2301" i="1" s="1"/>
  <c r="G2300" i="1" s="1"/>
  <c r="F2301" i="1" a="1"/>
  <c r="F2301" i="1" s="1"/>
  <c r="F2300" i="1" s="1"/>
  <c r="K2299" i="1" a="1"/>
  <c r="K2299" i="1" s="1"/>
  <c r="J2299" i="1" a="1"/>
  <c r="J2299" i="1" s="1"/>
  <c r="I2299" i="1" a="1"/>
  <c r="I2299" i="1" s="1"/>
  <c r="H2299" i="1" a="1"/>
  <c r="H2299" i="1" s="1"/>
  <c r="G2299" i="1" a="1"/>
  <c r="G2299" i="1" s="1"/>
  <c r="F2299" i="1" a="1"/>
  <c r="F2299" i="1" s="1"/>
  <c r="K2298" i="1" a="1"/>
  <c r="K2298" i="1" s="1"/>
  <c r="J2298" i="1" a="1"/>
  <c r="J2298" i="1" s="1"/>
  <c r="I2298" i="1" a="1"/>
  <c r="I2298" i="1" s="1"/>
  <c r="H2298" i="1" a="1"/>
  <c r="H2298" i="1" s="1"/>
  <c r="G2298" i="1" a="1"/>
  <c r="G2298" i="1" s="1"/>
  <c r="F2298" i="1" a="1"/>
  <c r="F2298" i="1" s="1"/>
  <c r="K2297" i="1" a="1"/>
  <c r="K2297" i="1" s="1"/>
  <c r="K2296" i="1" s="1"/>
  <c r="J2297" i="1" a="1"/>
  <c r="J2297" i="1" s="1"/>
  <c r="J2296" i="1" s="1"/>
  <c r="I2297" i="1" a="1"/>
  <c r="I2297" i="1" s="1"/>
  <c r="I2296" i="1" s="1"/>
  <c r="H2297" i="1" a="1"/>
  <c r="H2297" i="1" s="1"/>
  <c r="H2296" i="1" s="1"/>
  <c r="G2297" i="1" a="1"/>
  <c r="G2297" i="1" s="1"/>
  <c r="G2296" i="1" s="1"/>
  <c r="F2297" i="1" a="1"/>
  <c r="F2297" i="1" s="1"/>
  <c r="F2296" i="1" s="1"/>
  <c r="K2295" i="1" a="1"/>
  <c r="K2295" i="1" s="1"/>
  <c r="K2294" i="1" s="1"/>
  <c r="J2295" i="1" a="1"/>
  <c r="J2295" i="1" s="1"/>
  <c r="J2294" i="1" s="1"/>
  <c r="I2295" i="1" a="1"/>
  <c r="I2295" i="1" s="1"/>
  <c r="I2294" i="1" s="1"/>
  <c r="H2295" i="1" a="1"/>
  <c r="H2295" i="1" s="1"/>
  <c r="H2294" i="1" s="1"/>
  <c r="G2295" i="1" a="1"/>
  <c r="G2295" i="1" s="1"/>
  <c r="G2294" i="1" s="1"/>
  <c r="F2295" i="1" a="1"/>
  <c r="F2295" i="1" s="1"/>
  <c r="F2294" i="1" s="1"/>
  <c r="K2293" i="1" a="1"/>
  <c r="K2293" i="1" s="1"/>
  <c r="J2293" i="1" a="1"/>
  <c r="J2293" i="1" s="1"/>
  <c r="I2293" i="1" a="1"/>
  <c r="I2293" i="1" s="1"/>
  <c r="H2293" i="1" a="1"/>
  <c r="H2293" i="1" s="1"/>
  <c r="G2293" i="1" a="1"/>
  <c r="G2293" i="1" s="1"/>
  <c r="F2293" i="1" a="1"/>
  <c r="F2293" i="1" s="1"/>
  <c r="K2292" i="1" a="1"/>
  <c r="K2292" i="1" s="1"/>
  <c r="K2291" i="1" s="1"/>
  <c r="K2290" i="1" s="1"/>
  <c r="J2292" i="1" a="1"/>
  <c r="J2292" i="1" s="1"/>
  <c r="J2291" i="1" s="1"/>
  <c r="J2290" i="1" s="1"/>
  <c r="I2292" i="1" a="1"/>
  <c r="I2292" i="1" s="1"/>
  <c r="I2291" i="1" s="1"/>
  <c r="I2290" i="1" s="1"/>
  <c r="H2292" i="1" a="1"/>
  <c r="H2292" i="1" s="1"/>
  <c r="H2291" i="1" s="1"/>
  <c r="H2290" i="1" s="1"/>
  <c r="G2292" i="1" a="1"/>
  <c r="G2292" i="1" s="1"/>
  <c r="G2291" i="1" s="1"/>
  <c r="G2290" i="1" s="1"/>
  <c r="F2292" i="1" a="1"/>
  <c r="F2292" i="1" s="1"/>
  <c r="F2291" i="1" s="1"/>
  <c r="F2290" i="1" s="1"/>
  <c r="K2289" i="1" a="1"/>
  <c r="K2289" i="1" s="1"/>
  <c r="K2288" i="1" s="1"/>
  <c r="J2289" i="1" a="1"/>
  <c r="J2289" i="1" s="1"/>
  <c r="J2288" i="1" s="1"/>
  <c r="I2289" i="1" a="1"/>
  <c r="I2289" i="1" s="1"/>
  <c r="I2288" i="1" s="1"/>
  <c r="H2289" i="1" a="1"/>
  <c r="H2289" i="1" s="1"/>
  <c r="H2288" i="1" s="1"/>
  <c r="G2289" i="1" a="1"/>
  <c r="G2289" i="1" s="1"/>
  <c r="G2288" i="1" s="1"/>
  <c r="F2289" i="1" a="1"/>
  <c r="F2289" i="1" s="1"/>
  <c r="F2288" i="1" s="1"/>
  <c r="K2287" i="1" a="1"/>
  <c r="K2287" i="1" s="1"/>
  <c r="K2286" i="1" s="1"/>
  <c r="J2287" i="1" a="1"/>
  <c r="J2287" i="1" s="1"/>
  <c r="J2286" i="1" s="1"/>
  <c r="I2287" i="1" a="1"/>
  <c r="I2287" i="1" s="1"/>
  <c r="I2286" i="1" s="1"/>
  <c r="H2287" i="1" a="1"/>
  <c r="H2287" i="1" s="1"/>
  <c r="H2286" i="1" s="1"/>
  <c r="G2287" i="1" a="1"/>
  <c r="G2287" i="1" s="1"/>
  <c r="G2286" i="1" s="1"/>
  <c r="F2287" i="1" a="1"/>
  <c r="F2287" i="1" s="1"/>
  <c r="F2286" i="1" s="1"/>
  <c r="K2285" i="1" a="1"/>
  <c r="K2285" i="1" s="1"/>
  <c r="K2284" i="1" s="1"/>
  <c r="J2285" i="1" a="1"/>
  <c r="J2285" i="1" s="1"/>
  <c r="J2284" i="1" s="1"/>
  <c r="I2285" i="1" a="1"/>
  <c r="I2285" i="1" s="1"/>
  <c r="I2284" i="1" s="1"/>
  <c r="H2285" i="1" a="1"/>
  <c r="H2285" i="1" s="1"/>
  <c r="H2284" i="1" s="1"/>
  <c r="G2285" i="1" a="1"/>
  <c r="G2285" i="1" s="1"/>
  <c r="G2284" i="1" s="1"/>
  <c r="F2285" i="1" a="1"/>
  <c r="F2285" i="1" s="1"/>
  <c r="F2284" i="1" s="1"/>
  <c r="K2283" i="1" a="1"/>
  <c r="K2283" i="1" s="1"/>
  <c r="K2282" i="1" s="1"/>
  <c r="J2283" i="1" a="1"/>
  <c r="J2283" i="1" s="1"/>
  <c r="J2282" i="1" s="1"/>
  <c r="I2283" i="1" a="1"/>
  <c r="I2283" i="1" s="1"/>
  <c r="I2282" i="1" s="1"/>
  <c r="H2283" i="1" a="1"/>
  <c r="H2283" i="1" s="1"/>
  <c r="H2282" i="1" s="1"/>
  <c r="G2283" i="1" a="1"/>
  <c r="G2283" i="1" s="1"/>
  <c r="G2282" i="1" s="1"/>
  <c r="F2283" i="1" a="1"/>
  <c r="F2283" i="1" s="1"/>
  <c r="F2282" i="1" s="1"/>
  <c r="K2281" i="1" a="1"/>
  <c r="K2281" i="1" s="1"/>
  <c r="K2280" i="1" s="1"/>
  <c r="J2281" i="1" a="1"/>
  <c r="J2281" i="1" s="1"/>
  <c r="J2280" i="1" s="1"/>
  <c r="I2281" i="1" a="1"/>
  <c r="I2281" i="1" s="1"/>
  <c r="I2280" i="1" s="1"/>
  <c r="H2281" i="1" a="1"/>
  <c r="H2281" i="1" s="1"/>
  <c r="H2280" i="1" s="1"/>
  <c r="G2281" i="1" a="1"/>
  <c r="G2281" i="1" s="1"/>
  <c r="G2280" i="1" s="1"/>
  <c r="F2281" i="1" a="1"/>
  <c r="F2281" i="1" s="1"/>
  <c r="F2280" i="1" s="1"/>
  <c r="K2279" i="1" a="1"/>
  <c r="K2279" i="1" s="1"/>
  <c r="K2278" i="1" s="1"/>
  <c r="J2279" i="1" a="1"/>
  <c r="J2279" i="1" s="1"/>
  <c r="J2278" i="1" s="1"/>
  <c r="I2279" i="1" a="1"/>
  <c r="I2279" i="1" s="1"/>
  <c r="I2278" i="1" s="1"/>
  <c r="H2279" i="1" a="1"/>
  <c r="H2279" i="1" s="1"/>
  <c r="H2278" i="1" s="1"/>
  <c r="G2279" i="1" a="1"/>
  <c r="G2279" i="1" s="1"/>
  <c r="G2278" i="1" s="1"/>
  <c r="F2279" i="1" a="1"/>
  <c r="F2279" i="1" s="1"/>
  <c r="F2278" i="1" s="1"/>
  <c r="K2277" i="1" a="1"/>
  <c r="K2277" i="1" s="1"/>
  <c r="J2277" i="1" a="1"/>
  <c r="J2277" i="1" s="1"/>
  <c r="I2277" i="1" a="1"/>
  <c r="I2277" i="1" s="1"/>
  <c r="H2277" i="1" a="1"/>
  <c r="H2277" i="1" s="1"/>
  <c r="G2277" i="1" a="1"/>
  <c r="G2277" i="1" s="1"/>
  <c r="F2277" i="1" a="1"/>
  <c r="F2277" i="1" s="1"/>
  <c r="K2276" i="1" a="1"/>
  <c r="K2276" i="1" s="1"/>
  <c r="J2276" i="1" a="1"/>
  <c r="J2276" i="1" s="1"/>
  <c r="I2276" i="1" a="1"/>
  <c r="I2276" i="1" s="1"/>
  <c r="H2276" i="1" a="1"/>
  <c r="H2276" i="1" s="1"/>
  <c r="G2276" i="1" a="1"/>
  <c r="G2276" i="1" s="1"/>
  <c r="F2276" i="1" a="1"/>
  <c r="F2276" i="1" s="1"/>
  <c r="K2275" i="1" a="1"/>
  <c r="K2275" i="1" s="1"/>
  <c r="K2274" i="1" s="1"/>
  <c r="J2275" i="1" a="1"/>
  <c r="J2275" i="1" s="1"/>
  <c r="J2274" i="1" s="1"/>
  <c r="I2275" i="1" a="1"/>
  <c r="I2275" i="1" s="1"/>
  <c r="I2274" i="1" s="1"/>
  <c r="H2275" i="1" a="1"/>
  <c r="H2275" i="1" s="1"/>
  <c r="H2274" i="1" s="1"/>
  <c r="G2275" i="1" a="1"/>
  <c r="G2275" i="1" s="1"/>
  <c r="G2274" i="1" s="1"/>
  <c r="F2275" i="1" a="1"/>
  <c r="F2275" i="1" s="1"/>
  <c r="F2274" i="1" s="1"/>
  <c r="K2273" i="1" a="1"/>
  <c r="K2273" i="1" s="1"/>
  <c r="J2273" i="1" a="1"/>
  <c r="J2273" i="1" s="1"/>
  <c r="I2273" i="1" a="1"/>
  <c r="I2273" i="1" s="1"/>
  <c r="H2273" i="1" a="1"/>
  <c r="H2273" i="1" s="1"/>
  <c r="G2273" i="1" a="1"/>
  <c r="G2273" i="1" s="1"/>
  <c r="F2273" i="1" a="1"/>
  <c r="F2273" i="1" s="1"/>
  <c r="K2272" i="1" a="1"/>
  <c r="K2272" i="1" s="1"/>
  <c r="K2271" i="1" s="1"/>
  <c r="J2272" i="1" a="1"/>
  <c r="J2272" i="1" s="1"/>
  <c r="J2271" i="1" s="1"/>
  <c r="I2272" i="1" a="1"/>
  <c r="I2272" i="1" s="1"/>
  <c r="I2271" i="1" s="1"/>
  <c r="H2272" i="1" a="1"/>
  <c r="H2272" i="1" s="1"/>
  <c r="H2271" i="1" s="1"/>
  <c r="G2272" i="1" a="1"/>
  <c r="G2272" i="1" s="1"/>
  <c r="G2271" i="1" s="1"/>
  <c r="F2272" i="1" a="1"/>
  <c r="F2272" i="1" s="1"/>
  <c r="F2271" i="1" s="1"/>
  <c r="K2270" i="1" a="1"/>
  <c r="K2270" i="1" s="1"/>
  <c r="J2270" i="1" a="1"/>
  <c r="J2270" i="1" s="1"/>
  <c r="I2270" i="1" a="1"/>
  <c r="I2270" i="1" s="1"/>
  <c r="H2270" i="1" a="1"/>
  <c r="H2270" i="1" s="1"/>
  <c r="G2270" i="1" a="1"/>
  <c r="G2270" i="1" s="1"/>
  <c r="F2270" i="1" a="1"/>
  <c r="F2270" i="1" s="1"/>
  <c r="K2269" i="1" a="1"/>
  <c r="K2269" i="1" s="1"/>
  <c r="K2268" i="1" s="1"/>
  <c r="K2267" i="1" s="1"/>
  <c r="J2269" i="1" a="1"/>
  <c r="J2269" i="1" s="1"/>
  <c r="J2268" i="1" s="1"/>
  <c r="J2267" i="1" s="1"/>
  <c r="I2269" i="1" a="1"/>
  <c r="I2269" i="1" s="1"/>
  <c r="I2268" i="1" s="1"/>
  <c r="I2267" i="1" s="1"/>
  <c r="H2269" i="1" a="1"/>
  <c r="H2269" i="1" s="1"/>
  <c r="H2268" i="1" s="1"/>
  <c r="H2267" i="1" s="1"/>
  <c r="G2269" i="1" a="1"/>
  <c r="G2269" i="1" s="1"/>
  <c r="G2268" i="1" s="1"/>
  <c r="G2267" i="1" s="1"/>
  <c r="F2269" i="1" a="1"/>
  <c r="F2269" i="1" s="1"/>
  <c r="F2268" i="1" s="1"/>
  <c r="F2267" i="1" s="1"/>
  <c r="K2266" i="1" a="1"/>
  <c r="K2266" i="1" s="1"/>
  <c r="K2265" i="1" s="1"/>
  <c r="J2266" i="1" a="1"/>
  <c r="J2266" i="1" s="1"/>
  <c r="J2265" i="1" s="1"/>
  <c r="I2266" i="1" a="1"/>
  <c r="I2266" i="1" s="1"/>
  <c r="I2265" i="1" s="1"/>
  <c r="H2266" i="1" a="1"/>
  <c r="H2266" i="1" s="1"/>
  <c r="H2265" i="1" s="1"/>
  <c r="G2266" i="1" a="1"/>
  <c r="G2266" i="1" s="1"/>
  <c r="G2265" i="1" s="1"/>
  <c r="F2266" i="1" a="1"/>
  <c r="F2266" i="1" s="1"/>
  <c r="F2265" i="1" s="1"/>
  <c r="K2264" i="1" a="1"/>
  <c r="K2264" i="1" s="1"/>
  <c r="K2263" i="1" s="1"/>
  <c r="J2264" i="1" a="1"/>
  <c r="J2264" i="1" s="1"/>
  <c r="J2263" i="1" s="1"/>
  <c r="I2264" i="1" a="1"/>
  <c r="I2264" i="1" s="1"/>
  <c r="I2263" i="1" s="1"/>
  <c r="H2264" i="1" a="1"/>
  <c r="H2264" i="1" s="1"/>
  <c r="H2263" i="1" s="1"/>
  <c r="G2264" i="1" a="1"/>
  <c r="G2264" i="1" s="1"/>
  <c r="G2263" i="1" s="1"/>
  <c r="F2264" i="1" a="1"/>
  <c r="F2264" i="1" s="1"/>
  <c r="F2263" i="1" s="1"/>
  <c r="K2262" i="1" a="1"/>
  <c r="K2262" i="1" s="1"/>
  <c r="K2261" i="1" s="1"/>
  <c r="J2262" i="1" a="1"/>
  <c r="J2262" i="1" s="1"/>
  <c r="J2261" i="1" s="1"/>
  <c r="I2262" i="1" a="1"/>
  <c r="I2262" i="1" s="1"/>
  <c r="I2261" i="1" s="1"/>
  <c r="H2262" i="1" a="1"/>
  <c r="H2262" i="1" s="1"/>
  <c r="H2261" i="1" s="1"/>
  <c r="G2262" i="1" a="1"/>
  <c r="G2262" i="1" s="1"/>
  <c r="G2261" i="1" s="1"/>
  <c r="F2262" i="1" a="1"/>
  <c r="F2262" i="1" s="1"/>
  <c r="F2261" i="1" s="1"/>
  <c r="K2260" i="1" a="1"/>
  <c r="K2260" i="1" s="1"/>
  <c r="K2259" i="1" s="1"/>
  <c r="J2260" i="1" a="1"/>
  <c r="J2260" i="1" s="1"/>
  <c r="J2259" i="1" s="1"/>
  <c r="I2260" i="1" a="1"/>
  <c r="I2260" i="1" s="1"/>
  <c r="I2259" i="1" s="1"/>
  <c r="H2260" i="1" a="1"/>
  <c r="H2260" i="1" s="1"/>
  <c r="H2259" i="1" s="1"/>
  <c r="G2260" i="1" a="1"/>
  <c r="G2260" i="1" s="1"/>
  <c r="G2259" i="1" s="1"/>
  <c r="F2260" i="1" a="1"/>
  <c r="F2260" i="1" s="1"/>
  <c r="F2259" i="1" s="1"/>
  <c r="K2258" i="1" a="1"/>
  <c r="K2258" i="1" s="1"/>
  <c r="K2257" i="1" s="1"/>
  <c r="J2258" i="1" a="1"/>
  <c r="J2258" i="1" s="1"/>
  <c r="J2257" i="1" s="1"/>
  <c r="I2258" i="1" a="1"/>
  <c r="I2258" i="1" s="1"/>
  <c r="I2257" i="1" s="1"/>
  <c r="H2258" i="1" a="1"/>
  <c r="H2258" i="1" s="1"/>
  <c r="H2257" i="1" s="1"/>
  <c r="G2258" i="1" a="1"/>
  <c r="G2258" i="1" s="1"/>
  <c r="G2257" i="1" s="1"/>
  <c r="F2258" i="1" a="1"/>
  <c r="F2258" i="1" s="1"/>
  <c r="F2257" i="1" s="1"/>
  <c r="K2256" i="1" a="1"/>
  <c r="K2256" i="1" s="1"/>
  <c r="J2256" i="1" a="1"/>
  <c r="J2256" i="1" s="1"/>
  <c r="I2256" i="1" a="1"/>
  <c r="I2256" i="1" s="1"/>
  <c r="H2256" i="1" a="1"/>
  <c r="H2256" i="1" s="1"/>
  <c r="G2256" i="1" a="1"/>
  <c r="G2256" i="1" s="1"/>
  <c r="F2256" i="1" a="1"/>
  <c r="F2256" i="1" s="1"/>
  <c r="K2255" i="1" a="1"/>
  <c r="K2255" i="1" s="1"/>
  <c r="K2254" i="1" s="1"/>
  <c r="J2255" i="1" a="1"/>
  <c r="J2255" i="1" s="1"/>
  <c r="J2254" i="1" s="1"/>
  <c r="I2255" i="1" a="1"/>
  <c r="I2255" i="1" s="1"/>
  <c r="I2254" i="1" s="1"/>
  <c r="H2255" i="1" a="1"/>
  <c r="H2255" i="1" s="1"/>
  <c r="H2254" i="1" s="1"/>
  <c r="G2255" i="1" a="1"/>
  <c r="G2255" i="1" s="1"/>
  <c r="G2254" i="1" s="1"/>
  <c r="F2255" i="1" a="1"/>
  <c r="F2255" i="1" s="1"/>
  <c r="F2254" i="1" s="1"/>
  <c r="K2253" i="1" a="1"/>
  <c r="K2253" i="1" s="1"/>
  <c r="K2252" i="1" s="1"/>
  <c r="J2253" i="1" a="1"/>
  <c r="J2253" i="1" s="1"/>
  <c r="J2252" i="1" s="1"/>
  <c r="I2253" i="1" a="1"/>
  <c r="I2253" i="1" s="1"/>
  <c r="I2252" i="1" s="1"/>
  <c r="H2253" i="1" a="1"/>
  <c r="H2253" i="1" s="1"/>
  <c r="H2252" i="1" s="1"/>
  <c r="G2253" i="1" a="1"/>
  <c r="G2253" i="1" s="1"/>
  <c r="G2252" i="1" s="1"/>
  <c r="F2253" i="1" a="1"/>
  <c r="F2253" i="1" s="1"/>
  <c r="F2252" i="1" s="1"/>
  <c r="K2251" i="1" a="1"/>
  <c r="K2251" i="1" s="1"/>
  <c r="J2251" i="1" a="1"/>
  <c r="J2251" i="1" s="1"/>
  <c r="I2251" i="1" a="1"/>
  <c r="I2251" i="1" s="1"/>
  <c r="H2251" i="1" a="1"/>
  <c r="H2251" i="1" s="1"/>
  <c r="G2251" i="1" a="1"/>
  <c r="G2251" i="1" s="1"/>
  <c r="F2251" i="1" a="1"/>
  <c r="F2251" i="1" s="1"/>
  <c r="K2250" i="1" a="1"/>
  <c r="K2250" i="1" s="1"/>
  <c r="K2249" i="1" s="1"/>
  <c r="K2248" i="1" s="1"/>
  <c r="J2250" i="1" a="1"/>
  <c r="J2250" i="1" s="1"/>
  <c r="J2249" i="1" s="1"/>
  <c r="J2248" i="1" s="1"/>
  <c r="I2250" i="1" a="1"/>
  <c r="I2250" i="1" s="1"/>
  <c r="I2249" i="1" s="1"/>
  <c r="H2250" i="1" a="1"/>
  <c r="H2250" i="1" s="1"/>
  <c r="H2249" i="1" s="1"/>
  <c r="H2248" i="1" s="1"/>
  <c r="G2250" i="1" a="1"/>
  <c r="G2250" i="1" s="1"/>
  <c r="G2249" i="1" s="1"/>
  <c r="G2248" i="1" s="1"/>
  <c r="F2250" i="1" a="1"/>
  <c r="F2250" i="1" s="1"/>
  <c r="F2249" i="1" s="1"/>
  <c r="F2248" i="1" s="1"/>
  <c r="K2247" i="1" a="1"/>
  <c r="K2247" i="1" s="1"/>
  <c r="K2246" i="1" s="1"/>
  <c r="J2247" i="1" a="1"/>
  <c r="J2247" i="1" s="1"/>
  <c r="J2246" i="1" s="1"/>
  <c r="I2247" i="1" a="1"/>
  <c r="I2247" i="1" s="1"/>
  <c r="I2246" i="1" s="1"/>
  <c r="H2247" i="1" a="1"/>
  <c r="H2247" i="1" s="1"/>
  <c r="H2246" i="1" s="1"/>
  <c r="G2247" i="1" a="1"/>
  <c r="G2247" i="1" s="1"/>
  <c r="G2246" i="1" s="1"/>
  <c r="F2247" i="1" a="1"/>
  <c r="F2247" i="1" s="1"/>
  <c r="F2246" i="1" s="1"/>
  <c r="K2245" i="1" a="1"/>
  <c r="K2245" i="1" s="1"/>
  <c r="K2244" i="1" s="1"/>
  <c r="J2245" i="1" a="1"/>
  <c r="J2245" i="1" s="1"/>
  <c r="J2244" i="1" s="1"/>
  <c r="I2245" i="1" a="1"/>
  <c r="I2245" i="1" s="1"/>
  <c r="I2244" i="1" s="1"/>
  <c r="H2245" i="1" a="1"/>
  <c r="H2245" i="1" s="1"/>
  <c r="H2244" i="1" s="1"/>
  <c r="G2245" i="1" a="1"/>
  <c r="G2245" i="1" s="1"/>
  <c r="G2244" i="1" s="1"/>
  <c r="F2245" i="1" a="1"/>
  <c r="F2245" i="1" s="1"/>
  <c r="F2244" i="1" s="1"/>
  <c r="K2243" i="1" a="1"/>
  <c r="K2243" i="1" s="1"/>
  <c r="K2242" i="1" s="1"/>
  <c r="J2243" i="1" a="1"/>
  <c r="J2243" i="1" s="1"/>
  <c r="J2242" i="1" s="1"/>
  <c r="I2243" i="1" a="1"/>
  <c r="I2243" i="1" s="1"/>
  <c r="I2242" i="1" s="1"/>
  <c r="H2243" i="1" a="1"/>
  <c r="H2243" i="1" s="1"/>
  <c r="H2242" i="1" s="1"/>
  <c r="G2243" i="1" a="1"/>
  <c r="G2243" i="1" s="1"/>
  <c r="G2242" i="1" s="1"/>
  <c r="F2243" i="1" a="1"/>
  <c r="F2243" i="1" s="1"/>
  <c r="F2242" i="1" s="1"/>
  <c r="K2241" i="1" a="1"/>
  <c r="K2241" i="1" s="1"/>
  <c r="K2240" i="1" s="1"/>
  <c r="J2241" i="1" a="1"/>
  <c r="J2241" i="1" s="1"/>
  <c r="J2240" i="1" s="1"/>
  <c r="I2241" i="1" a="1"/>
  <c r="I2241" i="1" s="1"/>
  <c r="I2240" i="1" s="1"/>
  <c r="H2241" i="1" a="1"/>
  <c r="H2241" i="1" s="1"/>
  <c r="H2240" i="1" s="1"/>
  <c r="G2241" i="1" a="1"/>
  <c r="G2241" i="1" s="1"/>
  <c r="G2240" i="1" s="1"/>
  <c r="F2241" i="1" a="1"/>
  <c r="F2241" i="1" s="1"/>
  <c r="F2240" i="1" s="1"/>
  <c r="K2239" i="1" a="1"/>
  <c r="K2239" i="1" s="1"/>
  <c r="K2238" i="1" s="1"/>
  <c r="J2239" i="1" a="1"/>
  <c r="J2239" i="1" s="1"/>
  <c r="J2238" i="1" s="1"/>
  <c r="I2239" i="1" a="1"/>
  <c r="I2239" i="1" s="1"/>
  <c r="I2238" i="1" s="1"/>
  <c r="H2239" i="1" a="1"/>
  <c r="H2239" i="1" s="1"/>
  <c r="H2238" i="1" s="1"/>
  <c r="G2239" i="1" a="1"/>
  <c r="G2239" i="1" s="1"/>
  <c r="G2238" i="1" s="1"/>
  <c r="F2239" i="1" a="1"/>
  <c r="F2239" i="1" s="1"/>
  <c r="F2238" i="1" s="1"/>
  <c r="K2237" i="1" a="1"/>
  <c r="K2237" i="1" s="1"/>
  <c r="J2237" i="1" a="1"/>
  <c r="J2237" i="1" s="1"/>
  <c r="I2237" i="1" a="1"/>
  <c r="I2237" i="1" s="1"/>
  <c r="H2237" i="1" a="1"/>
  <c r="H2237" i="1" s="1"/>
  <c r="G2237" i="1" a="1"/>
  <c r="G2237" i="1" s="1"/>
  <c r="F2237" i="1" a="1"/>
  <c r="F2237" i="1" s="1"/>
  <c r="K2236" i="1" a="1"/>
  <c r="K2236" i="1" s="1"/>
  <c r="K2235" i="1" s="1"/>
  <c r="J2236" i="1" a="1"/>
  <c r="J2236" i="1" s="1"/>
  <c r="J2235" i="1" s="1"/>
  <c r="I2236" i="1" a="1"/>
  <c r="I2236" i="1" s="1"/>
  <c r="I2235" i="1" s="1"/>
  <c r="H2236" i="1" a="1"/>
  <c r="H2236" i="1" s="1"/>
  <c r="H2235" i="1" s="1"/>
  <c r="G2236" i="1" a="1"/>
  <c r="G2236" i="1" s="1"/>
  <c r="G2235" i="1" s="1"/>
  <c r="F2236" i="1" a="1"/>
  <c r="F2236" i="1" s="1"/>
  <c r="F2235" i="1" s="1"/>
  <c r="K2234" i="1" a="1"/>
  <c r="K2234" i="1" s="1"/>
  <c r="K2233" i="1" s="1"/>
  <c r="J2234" i="1" a="1"/>
  <c r="J2234" i="1" s="1"/>
  <c r="J2233" i="1" s="1"/>
  <c r="I2234" i="1" a="1"/>
  <c r="I2234" i="1" s="1"/>
  <c r="I2233" i="1" s="1"/>
  <c r="H2234" i="1" a="1"/>
  <c r="H2234" i="1" s="1"/>
  <c r="H2233" i="1" s="1"/>
  <c r="G2234" i="1" a="1"/>
  <c r="G2234" i="1" s="1"/>
  <c r="G2233" i="1" s="1"/>
  <c r="F2234" i="1" a="1"/>
  <c r="F2234" i="1" s="1"/>
  <c r="F2233" i="1" s="1"/>
  <c r="K2232" i="1" a="1"/>
  <c r="K2232" i="1" s="1"/>
  <c r="J2232" i="1" a="1"/>
  <c r="J2232" i="1" s="1"/>
  <c r="I2232" i="1" a="1"/>
  <c r="I2232" i="1" s="1"/>
  <c r="H2232" i="1" a="1"/>
  <c r="H2232" i="1" s="1"/>
  <c r="G2232" i="1" a="1"/>
  <c r="G2232" i="1" s="1"/>
  <c r="F2232" i="1" a="1"/>
  <c r="F2232" i="1" s="1"/>
  <c r="K2231" i="1" a="1"/>
  <c r="K2231" i="1" s="1"/>
  <c r="K2230" i="1" s="1"/>
  <c r="K2229" i="1" s="1"/>
  <c r="K2228" i="1" s="1"/>
  <c r="J2231" i="1" a="1"/>
  <c r="J2231" i="1" s="1"/>
  <c r="J2230" i="1" s="1"/>
  <c r="J2229" i="1" s="1"/>
  <c r="J2228" i="1" s="1"/>
  <c r="I2231" i="1" a="1"/>
  <c r="I2231" i="1" s="1"/>
  <c r="I2230" i="1" s="1"/>
  <c r="I2229" i="1" s="1"/>
  <c r="H2231" i="1" a="1"/>
  <c r="H2231" i="1" s="1"/>
  <c r="H2230" i="1" s="1"/>
  <c r="H2229" i="1" s="1"/>
  <c r="H2228" i="1" s="1"/>
  <c r="G2231" i="1" a="1"/>
  <c r="G2231" i="1" s="1"/>
  <c r="G2230" i="1" s="1"/>
  <c r="G2229" i="1" s="1"/>
  <c r="G2228" i="1" s="1"/>
  <c r="F2231" i="1" a="1"/>
  <c r="F2231" i="1" s="1"/>
  <c r="F2230" i="1" s="1"/>
  <c r="F2229" i="1" s="1"/>
  <c r="F2228" i="1" s="1"/>
  <c r="K2227" i="1" a="1"/>
  <c r="K2227" i="1" s="1"/>
  <c r="J2227" i="1" a="1"/>
  <c r="J2227" i="1" s="1"/>
  <c r="I2227" i="1" a="1"/>
  <c r="I2227" i="1" s="1"/>
  <c r="H2227" i="1" a="1"/>
  <c r="H2227" i="1" s="1"/>
  <c r="G2227" i="1" a="1"/>
  <c r="G2227" i="1" s="1"/>
  <c r="F2227" i="1" a="1"/>
  <c r="F2227" i="1" s="1"/>
  <c r="K2226" i="1" a="1"/>
  <c r="K2226" i="1" s="1"/>
  <c r="J2226" i="1" a="1"/>
  <c r="J2226" i="1" s="1"/>
  <c r="I2226" i="1" a="1"/>
  <c r="I2226" i="1" s="1"/>
  <c r="H2226" i="1" a="1"/>
  <c r="H2226" i="1" s="1"/>
  <c r="G2226" i="1" a="1"/>
  <c r="G2226" i="1" s="1"/>
  <c r="F2226" i="1" a="1"/>
  <c r="F2226" i="1" s="1"/>
  <c r="K2224" i="1" a="1"/>
  <c r="K2224" i="1" s="1"/>
  <c r="K2225" i="1" s="1" a="1"/>
  <c r="K2225" i="1" s="1"/>
  <c r="J2224" i="1" a="1"/>
  <c r="J2224" i="1" s="1"/>
  <c r="J2225" i="1" s="1" a="1"/>
  <c r="J2225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K2222" i="1" a="1"/>
  <c r="K2222" i="1" s="1"/>
  <c r="K2223" i="1" s="1" a="1"/>
  <c r="K2223" i="1" s="1"/>
  <c r="J2222" i="1" a="1"/>
  <c r="J2222" i="1" s="1"/>
  <c r="J2223" i="1" s="1" a="1"/>
  <c r="J2223" i="1" s="1"/>
  <c r="I2222" i="1" a="1"/>
  <c r="I2222" i="1" s="1"/>
  <c r="I2223" i="1" s="1" a="1"/>
  <c r="I2223" i="1" s="1"/>
  <c r="H2222" i="1" a="1"/>
  <c r="H2222" i="1" s="1"/>
  <c r="H2223" i="1" s="1" a="1"/>
  <c r="H2223" i="1" s="1"/>
  <c r="G2222" i="1" a="1"/>
  <c r="G2222" i="1" s="1"/>
  <c r="G2223" i="1" s="1" a="1"/>
  <c r="G2223" i="1" s="1"/>
  <c r="F2222" i="1" a="1"/>
  <c r="F2222" i="1" s="1"/>
  <c r="F2223" i="1" s="1" a="1"/>
  <c r="F2223" i="1" s="1"/>
  <c r="K2221" i="1" a="1"/>
  <c r="K2221" i="1" s="1"/>
  <c r="J2221" i="1" a="1"/>
  <c r="J2221" i="1" s="1"/>
  <c r="I2221" i="1" a="1"/>
  <c r="I2221" i="1" s="1"/>
  <c r="H2221" i="1" a="1"/>
  <c r="H2221" i="1" s="1"/>
  <c r="G2221" i="1" a="1"/>
  <c r="G2221" i="1" s="1"/>
  <c r="F2221" i="1" a="1"/>
  <c r="F2221" i="1" s="1"/>
  <c r="K2219" i="1" a="1"/>
  <c r="K2219" i="1" s="1"/>
  <c r="K2220" i="1" s="1" a="1"/>
  <c r="K2220" i="1" s="1"/>
  <c r="J2219" i="1" a="1"/>
  <c r="J2219" i="1" s="1"/>
  <c r="J2220" i="1" s="1" a="1"/>
  <c r="J2220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K2217" i="1" a="1"/>
  <c r="K2217" i="1" s="1"/>
  <c r="J2217" i="1" a="1"/>
  <c r="J2217" i="1" s="1"/>
  <c r="I2217" i="1" a="1"/>
  <c r="I2217" i="1" s="1"/>
  <c r="H2217" i="1" a="1"/>
  <c r="H2217" i="1" s="1"/>
  <c r="G2217" i="1" a="1"/>
  <c r="G2217" i="1" s="1"/>
  <c r="F2217" i="1" a="1"/>
  <c r="F2217" i="1" s="1"/>
  <c r="K2216" i="1" a="1"/>
  <c r="K2216" i="1" s="1"/>
  <c r="J2216" i="1" a="1"/>
  <c r="J2216" i="1" s="1"/>
  <c r="I2216" i="1" a="1"/>
  <c r="I2216" i="1" s="1"/>
  <c r="H2216" i="1" a="1"/>
  <c r="H2216" i="1" s="1"/>
  <c r="G2216" i="1" a="1"/>
  <c r="G2216" i="1" s="1"/>
  <c r="F2216" i="1" a="1"/>
  <c r="F2216" i="1" s="1"/>
  <c r="K2214" i="1" a="1"/>
  <c r="K2214" i="1" s="1"/>
  <c r="K2215" i="1" s="1" a="1"/>
  <c r="K2215" i="1" s="1"/>
  <c r="J2214" i="1" a="1"/>
  <c r="J2214" i="1" s="1"/>
  <c r="J2215" i="1" s="1" a="1"/>
  <c r="J2215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K2212" i="1" a="1"/>
  <c r="K2212" i="1" s="1"/>
  <c r="K2213" i="1" s="1" a="1"/>
  <c r="K2213" i="1" s="1"/>
  <c r="J2212" i="1" a="1"/>
  <c r="J2212" i="1" s="1"/>
  <c r="J2213" i="1" s="1" a="1"/>
  <c r="J2213" i="1" s="1"/>
  <c r="I2212" i="1" a="1"/>
  <c r="I2212" i="1" s="1"/>
  <c r="I2213" i="1" s="1" a="1"/>
  <c r="I2213" i="1" s="1"/>
  <c r="H2212" i="1" a="1"/>
  <c r="H2212" i="1" s="1"/>
  <c r="H2213" i="1" s="1" a="1"/>
  <c r="H2213" i="1" s="1"/>
  <c r="G2212" i="1" a="1"/>
  <c r="G2212" i="1" s="1"/>
  <c r="G2213" i="1" s="1" a="1"/>
  <c r="G2213" i="1" s="1"/>
  <c r="F2212" i="1" a="1"/>
  <c r="F2212" i="1" s="1"/>
  <c r="F2213" i="1" s="1" a="1"/>
  <c r="F2213" i="1" s="1"/>
  <c r="K2211" i="1" a="1"/>
  <c r="K2211" i="1" s="1"/>
  <c r="J2211" i="1" a="1"/>
  <c r="J2211" i="1" s="1"/>
  <c r="I2211" i="1" a="1"/>
  <c r="I2211" i="1" s="1"/>
  <c r="H2211" i="1" a="1"/>
  <c r="H2211" i="1" s="1"/>
  <c r="G2211" i="1" a="1"/>
  <c r="G2211" i="1" s="1"/>
  <c r="F2211" i="1" a="1"/>
  <c r="F2211" i="1" s="1"/>
  <c r="K2209" i="1" a="1"/>
  <c r="K2209" i="1" s="1"/>
  <c r="K2210" i="1" s="1" a="1"/>
  <c r="K2210" i="1" s="1"/>
  <c r="J2209" i="1" a="1"/>
  <c r="J2209" i="1" s="1"/>
  <c r="J2210" i="1" s="1" a="1"/>
  <c r="J2210" i="1" s="1"/>
  <c r="I2209" i="1" a="1"/>
  <c r="I2209" i="1" s="1"/>
  <c r="I2210" i="1" s="1" a="1"/>
  <c r="I2210" i="1" s="1"/>
  <c r="H2209" i="1" a="1"/>
  <c r="H2209" i="1" s="1"/>
  <c r="H2210" i="1" s="1" a="1"/>
  <c r="H2210" i="1" s="1"/>
  <c r="G2209" i="1" a="1"/>
  <c r="G2209" i="1" s="1"/>
  <c r="G2210" i="1" s="1" a="1"/>
  <c r="G2210" i="1" s="1"/>
  <c r="F2209" i="1" a="1"/>
  <c r="F2209" i="1" s="1"/>
  <c r="F2210" i="1" s="1" a="1"/>
  <c r="F2210" i="1" s="1"/>
  <c r="K2207" i="1" a="1"/>
  <c r="K2207" i="1" s="1"/>
  <c r="J2207" i="1" a="1"/>
  <c r="J2207" i="1" s="1"/>
  <c r="I2207" i="1" a="1"/>
  <c r="I2207" i="1" s="1"/>
  <c r="H2207" i="1" a="1"/>
  <c r="H2207" i="1" s="1"/>
  <c r="G2207" i="1" a="1"/>
  <c r="G2207" i="1" s="1"/>
  <c r="F2207" i="1" a="1"/>
  <c r="F2207" i="1" s="1"/>
  <c r="K2206" i="1" a="1"/>
  <c r="K2206" i="1" s="1"/>
  <c r="J2206" i="1" a="1"/>
  <c r="J2206" i="1" s="1"/>
  <c r="I2206" i="1" a="1"/>
  <c r="I2206" i="1" s="1"/>
  <c r="H2206" i="1" a="1"/>
  <c r="H2206" i="1" s="1"/>
  <c r="G2206" i="1" a="1"/>
  <c r="G2206" i="1" s="1"/>
  <c r="F2206" i="1" a="1"/>
  <c r="F2206" i="1" s="1"/>
  <c r="K2205" i="1" a="1"/>
  <c r="K2205" i="1" s="1"/>
  <c r="J2205" i="1" a="1"/>
  <c r="J2205" i="1" s="1"/>
  <c r="I2205" i="1" a="1"/>
  <c r="I2205" i="1" s="1"/>
  <c r="H2205" i="1" a="1"/>
  <c r="H2205" i="1" s="1"/>
  <c r="G2205" i="1" a="1"/>
  <c r="G2205" i="1" s="1"/>
  <c r="F2205" i="1" a="1"/>
  <c r="F2205" i="1" s="1"/>
  <c r="K2204" i="1" a="1"/>
  <c r="K2204" i="1" s="1"/>
  <c r="J2204" i="1" a="1"/>
  <c r="J2204" i="1" s="1"/>
  <c r="I2204" i="1" a="1"/>
  <c r="I2204" i="1" s="1"/>
  <c r="H2204" i="1" a="1"/>
  <c r="H2204" i="1" s="1"/>
  <c r="G2204" i="1" a="1"/>
  <c r="G2204" i="1" s="1"/>
  <c r="F2204" i="1" a="1"/>
  <c r="F2204" i="1" s="1"/>
  <c r="K2203" i="1" a="1"/>
  <c r="K2203" i="1" s="1"/>
  <c r="J2203" i="1" a="1"/>
  <c r="J2203" i="1" s="1"/>
  <c r="I2203" i="1" a="1"/>
  <c r="I2203" i="1" s="1"/>
  <c r="H2203" i="1" a="1"/>
  <c r="H2203" i="1" s="1"/>
  <c r="G2203" i="1" a="1"/>
  <c r="G2203" i="1" s="1"/>
  <c r="F2203" i="1" a="1"/>
  <c r="F2203" i="1" s="1"/>
  <c r="K2202" i="1" a="1"/>
  <c r="K2202" i="1" s="1"/>
  <c r="J2202" i="1" a="1"/>
  <c r="J2202" i="1" s="1"/>
  <c r="I2202" i="1" a="1"/>
  <c r="I2202" i="1" s="1"/>
  <c r="H2202" i="1" a="1"/>
  <c r="H2202" i="1" s="1"/>
  <c r="G2202" i="1" a="1"/>
  <c r="G2202" i="1" s="1"/>
  <c r="F2202" i="1" a="1"/>
  <c r="F2202" i="1" s="1"/>
  <c r="K2201" i="1" a="1"/>
  <c r="K2201" i="1" s="1"/>
  <c r="J2201" i="1" a="1"/>
  <c r="J2201" i="1" s="1"/>
  <c r="I2201" i="1" a="1"/>
  <c r="I2201" i="1" s="1"/>
  <c r="H2201" i="1" a="1"/>
  <c r="H2201" i="1" s="1"/>
  <c r="G2201" i="1" a="1"/>
  <c r="G2201" i="1" s="1"/>
  <c r="F2201" i="1" a="1"/>
  <c r="F2201" i="1" s="1"/>
  <c r="K2200" i="1" a="1"/>
  <c r="K2200" i="1" s="1"/>
  <c r="J2200" i="1" a="1"/>
  <c r="J2200" i="1" s="1"/>
  <c r="I2200" i="1" a="1"/>
  <c r="I2200" i="1" s="1"/>
  <c r="H2200" i="1" a="1"/>
  <c r="H2200" i="1" s="1"/>
  <c r="G2200" i="1" a="1"/>
  <c r="G2200" i="1" s="1"/>
  <c r="F2200" i="1" a="1"/>
  <c r="F2200" i="1" s="1"/>
  <c r="K2199" i="1" a="1"/>
  <c r="K2199" i="1" s="1"/>
  <c r="J2199" i="1" a="1"/>
  <c r="J2199" i="1" s="1"/>
  <c r="I2199" i="1" a="1"/>
  <c r="I2199" i="1" s="1"/>
  <c r="H2199" i="1" a="1"/>
  <c r="H2199" i="1" s="1"/>
  <c r="G2199" i="1" a="1"/>
  <c r="G2199" i="1" s="1"/>
  <c r="F2199" i="1" a="1"/>
  <c r="F2199" i="1" s="1"/>
  <c r="K2198" i="1" a="1"/>
  <c r="K2198" i="1" s="1"/>
  <c r="J2198" i="1" a="1"/>
  <c r="J2198" i="1" s="1"/>
  <c r="I2198" i="1" a="1"/>
  <c r="I2198" i="1" s="1"/>
  <c r="H2198" i="1" a="1"/>
  <c r="H2198" i="1" s="1"/>
  <c r="G2198" i="1" a="1"/>
  <c r="G2198" i="1" s="1"/>
  <c r="F2198" i="1" a="1"/>
  <c r="F2198" i="1" s="1"/>
  <c r="K2197" i="1" a="1"/>
  <c r="K2197" i="1" s="1"/>
  <c r="J2197" i="1" a="1"/>
  <c r="J2197" i="1" s="1"/>
  <c r="I2197" i="1" a="1"/>
  <c r="I2197" i="1" s="1"/>
  <c r="H2197" i="1" a="1"/>
  <c r="H2197" i="1" s="1"/>
  <c r="G2197" i="1" a="1"/>
  <c r="G2197" i="1" s="1"/>
  <c r="F2197" i="1" a="1"/>
  <c r="F2197" i="1" s="1"/>
  <c r="K2196" i="1" a="1"/>
  <c r="K2196" i="1" s="1"/>
  <c r="J2196" i="1" a="1"/>
  <c r="J2196" i="1" s="1"/>
  <c r="I2196" i="1" a="1"/>
  <c r="I2196" i="1" s="1"/>
  <c r="H2196" i="1" a="1"/>
  <c r="H2196" i="1" s="1"/>
  <c r="G2196" i="1" a="1"/>
  <c r="G2196" i="1" s="1"/>
  <c r="F2196" i="1" a="1"/>
  <c r="F2196" i="1" s="1"/>
  <c r="K2195" i="1" a="1"/>
  <c r="K2195" i="1" s="1"/>
  <c r="J2195" i="1" a="1"/>
  <c r="J2195" i="1" s="1"/>
  <c r="I2195" i="1" a="1"/>
  <c r="I2195" i="1" s="1"/>
  <c r="H2195" i="1" a="1"/>
  <c r="H2195" i="1" s="1"/>
  <c r="G2195" i="1" a="1"/>
  <c r="G2195" i="1" s="1"/>
  <c r="F2195" i="1" a="1"/>
  <c r="F2195" i="1" s="1"/>
  <c r="K2194" i="1" a="1"/>
  <c r="K2194" i="1" s="1"/>
  <c r="J2194" i="1" a="1"/>
  <c r="J2194" i="1" s="1"/>
  <c r="I2194" i="1" a="1"/>
  <c r="I2194" i="1" s="1"/>
  <c r="H2194" i="1" a="1"/>
  <c r="H2194" i="1" s="1"/>
  <c r="G2194" i="1" a="1"/>
  <c r="G2194" i="1" s="1"/>
  <c r="F2194" i="1" a="1"/>
  <c r="F2194" i="1" s="1"/>
  <c r="K2193" i="1" a="1"/>
  <c r="K2193" i="1" s="1"/>
  <c r="J2193" i="1" a="1"/>
  <c r="J2193" i="1" s="1"/>
  <c r="I2193" i="1" a="1"/>
  <c r="I2193" i="1" s="1"/>
  <c r="H2193" i="1" a="1"/>
  <c r="H2193" i="1" s="1"/>
  <c r="G2193" i="1" a="1"/>
  <c r="G2193" i="1" s="1"/>
  <c r="F2193" i="1" a="1"/>
  <c r="F2193" i="1" s="1"/>
  <c r="K2192" i="1" a="1"/>
  <c r="K2192" i="1" s="1"/>
  <c r="J2192" i="1" a="1"/>
  <c r="J2192" i="1" s="1"/>
  <c r="I2192" i="1" a="1"/>
  <c r="I2192" i="1" s="1"/>
  <c r="H2192" i="1" a="1"/>
  <c r="H2192" i="1" s="1"/>
  <c r="G2192" i="1" a="1"/>
  <c r="G2192" i="1" s="1"/>
  <c r="F2192" i="1" a="1"/>
  <c r="F2192" i="1" s="1"/>
  <c r="K2191" i="1" a="1"/>
  <c r="K2191" i="1" s="1"/>
  <c r="J2191" i="1" a="1"/>
  <c r="J2191" i="1" s="1"/>
  <c r="I2191" i="1" a="1"/>
  <c r="I2191" i="1" s="1"/>
  <c r="H2191" i="1" a="1"/>
  <c r="H2191" i="1" s="1"/>
  <c r="G2191" i="1" a="1"/>
  <c r="G2191" i="1" s="1"/>
  <c r="F2191" i="1" a="1"/>
  <c r="F2191" i="1" s="1"/>
  <c r="K2190" i="1" a="1"/>
  <c r="K2190" i="1" s="1"/>
  <c r="J2190" i="1" a="1"/>
  <c r="J2190" i="1" s="1"/>
  <c r="I2190" i="1" a="1"/>
  <c r="I2190" i="1" s="1"/>
  <c r="H2190" i="1" a="1"/>
  <c r="H2190" i="1" s="1"/>
  <c r="G2190" i="1" a="1"/>
  <c r="G2190" i="1" s="1"/>
  <c r="F2190" i="1" a="1"/>
  <c r="F2190" i="1" s="1"/>
  <c r="K2189" i="1" a="1"/>
  <c r="K2189" i="1" s="1"/>
  <c r="J2189" i="1" a="1"/>
  <c r="J2189" i="1" s="1"/>
  <c r="I2189" i="1" a="1"/>
  <c r="I2189" i="1" s="1"/>
  <c r="H2189" i="1" a="1"/>
  <c r="H2189" i="1" s="1"/>
  <c r="G2189" i="1" a="1"/>
  <c r="G2189" i="1" s="1"/>
  <c r="F2189" i="1" a="1"/>
  <c r="F2189" i="1" s="1"/>
  <c r="K2188" i="1" a="1"/>
  <c r="K2188" i="1" s="1"/>
  <c r="J2188" i="1" a="1"/>
  <c r="J2188" i="1" s="1"/>
  <c r="I2188" i="1" a="1"/>
  <c r="I2188" i="1" s="1"/>
  <c r="H2188" i="1" a="1"/>
  <c r="H2188" i="1" s="1"/>
  <c r="G2188" i="1" a="1"/>
  <c r="G2188" i="1" s="1"/>
  <c r="F2188" i="1" a="1"/>
  <c r="F2188" i="1" s="1"/>
  <c r="K2187" i="1" a="1"/>
  <c r="K2187" i="1" s="1"/>
  <c r="J2187" i="1" a="1"/>
  <c r="J2187" i="1" s="1"/>
  <c r="I2187" i="1" a="1"/>
  <c r="I2187" i="1" s="1"/>
  <c r="H2187" i="1" a="1"/>
  <c r="H2187" i="1" s="1"/>
  <c r="G2187" i="1" a="1"/>
  <c r="G2187" i="1" s="1"/>
  <c r="F2187" i="1" a="1"/>
  <c r="F2187" i="1" s="1"/>
  <c r="K2186" i="1" a="1"/>
  <c r="K2186" i="1" s="1"/>
  <c r="J2186" i="1" a="1"/>
  <c r="J2186" i="1" s="1"/>
  <c r="I2186" i="1" a="1"/>
  <c r="I2186" i="1" s="1"/>
  <c r="H2186" i="1" a="1"/>
  <c r="H2186" i="1" s="1"/>
  <c r="G2186" i="1" a="1"/>
  <c r="G2186" i="1" s="1"/>
  <c r="F2186" i="1" a="1"/>
  <c r="F2186" i="1" s="1"/>
  <c r="K2185" i="1" a="1"/>
  <c r="K2185" i="1" s="1"/>
  <c r="J2185" i="1" a="1"/>
  <c r="J2185" i="1" s="1"/>
  <c r="I2185" i="1" a="1"/>
  <c r="I2185" i="1" s="1"/>
  <c r="H2185" i="1" a="1"/>
  <c r="H2185" i="1" s="1"/>
  <c r="G2185" i="1" a="1"/>
  <c r="G2185" i="1" s="1"/>
  <c r="F2185" i="1" a="1"/>
  <c r="F2185" i="1" s="1"/>
  <c r="K2183" i="1" a="1"/>
  <c r="K2183" i="1" s="1"/>
  <c r="J2183" i="1" a="1"/>
  <c r="J2183" i="1" s="1"/>
  <c r="I2183" i="1" a="1"/>
  <c r="I2183" i="1" s="1"/>
  <c r="H2183" i="1" a="1"/>
  <c r="H2183" i="1" s="1"/>
  <c r="G2183" i="1" a="1"/>
  <c r="G2183" i="1" s="1"/>
  <c r="F2183" i="1" a="1"/>
  <c r="F2183" i="1" s="1"/>
  <c r="K2182" i="1" a="1"/>
  <c r="K2182" i="1" s="1"/>
  <c r="J2182" i="1" a="1"/>
  <c r="J2182" i="1" s="1"/>
  <c r="I2182" i="1" a="1"/>
  <c r="I2182" i="1" s="1"/>
  <c r="H2182" i="1" a="1"/>
  <c r="H2182" i="1" s="1"/>
  <c r="G2182" i="1" a="1"/>
  <c r="G2182" i="1" s="1"/>
  <c r="F2182" i="1" a="1"/>
  <c r="F2182" i="1" s="1"/>
  <c r="K2181" i="1" a="1"/>
  <c r="K2181" i="1" s="1"/>
  <c r="J2181" i="1" a="1"/>
  <c r="J2181" i="1" s="1"/>
  <c r="I2181" i="1" a="1"/>
  <c r="I2181" i="1" s="1"/>
  <c r="H2181" i="1" a="1"/>
  <c r="H2181" i="1" s="1"/>
  <c r="G2181" i="1" a="1"/>
  <c r="G2181" i="1" s="1"/>
  <c r="F2181" i="1" a="1"/>
  <c r="F2181" i="1" s="1"/>
  <c r="K2180" i="1" a="1"/>
  <c r="K2180" i="1" s="1"/>
  <c r="J2180" i="1" a="1"/>
  <c r="J2180" i="1" s="1"/>
  <c r="I2180" i="1" a="1"/>
  <c r="I2180" i="1" s="1"/>
  <c r="H2180" i="1" a="1"/>
  <c r="H2180" i="1" s="1"/>
  <c r="G2180" i="1" a="1"/>
  <c r="G2180" i="1" s="1"/>
  <c r="F2180" i="1" a="1"/>
  <c r="F2180" i="1" s="1"/>
  <c r="K2179" i="1" a="1"/>
  <c r="K2179" i="1" s="1"/>
  <c r="J2179" i="1" a="1"/>
  <c r="J2179" i="1" s="1"/>
  <c r="I2179" i="1" a="1"/>
  <c r="I2179" i="1" s="1"/>
  <c r="H2179" i="1" a="1"/>
  <c r="H2179" i="1" s="1"/>
  <c r="G2179" i="1" a="1"/>
  <c r="G2179" i="1" s="1"/>
  <c r="F2179" i="1" a="1"/>
  <c r="F2179" i="1" s="1"/>
  <c r="F2160" i="1" s="1"/>
  <c r="K2178" i="1" a="1"/>
  <c r="K2178" i="1" s="1"/>
  <c r="J2178" i="1" a="1"/>
  <c r="J2178" i="1" s="1"/>
  <c r="I2178" i="1" a="1"/>
  <c r="I2178" i="1" s="1"/>
  <c r="H2178" i="1" a="1"/>
  <c r="H2178" i="1" s="1"/>
  <c r="G2178" i="1" a="1"/>
  <c r="G2178" i="1" s="1"/>
  <c r="F2178" i="1" a="1"/>
  <c r="F2178" i="1" s="1"/>
  <c r="K2177" i="1" a="1"/>
  <c r="K2177" i="1" s="1"/>
  <c r="J2177" i="1" a="1"/>
  <c r="J2177" i="1" s="1"/>
  <c r="I2177" i="1" a="1"/>
  <c r="I2177" i="1" s="1"/>
  <c r="H2177" i="1" a="1"/>
  <c r="H2177" i="1" s="1"/>
  <c r="G2177" i="1" a="1"/>
  <c r="G2177" i="1" s="1"/>
  <c r="F2177" i="1" a="1"/>
  <c r="F2177" i="1" s="1"/>
  <c r="K2176" i="1" a="1"/>
  <c r="K2176" i="1" s="1"/>
  <c r="J2176" i="1" a="1"/>
  <c r="J2176" i="1" s="1"/>
  <c r="I2176" i="1" a="1"/>
  <c r="I2176" i="1" s="1"/>
  <c r="H2176" i="1" a="1"/>
  <c r="H2176" i="1" s="1"/>
  <c r="G2176" i="1" a="1"/>
  <c r="G2176" i="1" s="1"/>
  <c r="F2176" i="1" a="1"/>
  <c r="F2176" i="1" s="1"/>
  <c r="K2175" i="1" a="1"/>
  <c r="K2175" i="1" s="1"/>
  <c r="J2175" i="1" a="1"/>
  <c r="J2175" i="1" s="1"/>
  <c r="I2175" i="1" a="1"/>
  <c r="I2175" i="1" s="1"/>
  <c r="H2175" i="1" a="1"/>
  <c r="H2175" i="1" s="1"/>
  <c r="G2175" i="1" a="1"/>
  <c r="G2175" i="1" s="1"/>
  <c r="F2175" i="1" a="1"/>
  <c r="F2175" i="1" s="1"/>
  <c r="K2174" i="1" a="1"/>
  <c r="K2174" i="1" s="1"/>
  <c r="J2174" i="1" a="1"/>
  <c r="J2174" i="1" s="1"/>
  <c r="I2174" i="1" a="1"/>
  <c r="I2174" i="1" s="1"/>
  <c r="H2174" i="1" a="1"/>
  <c r="H2174" i="1" s="1"/>
  <c r="G2174" i="1" a="1"/>
  <c r="G2174" i="1" s="1"/>
  <c r="F2174" i="1" a="1"/>
  <c r="F2174" i="1" s="1"/>
  <c r="K2173" i="1" a="1"/>
  <c r="K2173" i="1" s="1"/>
  <c r="J2173" i="1" a="1"/>
  <c r="J2173" i="1" s="1"/>
  <c r="I2173" i="1" a="1"/>
  <c r="I2173" i="1" s="1"/>
  <c r="H2173" i="1" a="1"/>
  <c r="H2173" i="1" s="1"/>
  <c r="G2173" i="1" a="1"/>
  <c r="G2173" i="1" s="1"/>
  <c r="F2173" i="1" a="1"/>
  <c r="F2173" i="1" s="1"/>
  <c r="K2172" i="1" a="1"/>
  <c r="K2172" i="1" s="1"/>
  <c r="J2172" i="1" a="1"/>
  <c r="J2172" i="1" s="1"/>
  <c r="I2172" i="1" a="1"/>
  <c r="I2172" i="1" s="1"/>
  <c r="H2172" i="1" a="1"/>
  <c r="H2172" i="1" s="1"/>
  <c r="G2172" i="1" a="1"/>
  <c r="G2172" i="1" s="1"/>
  <c r="F2172" i="1" a="1"/>
  <c r="F2172" i="1" s="1"/>
  <c r="K2171" i="1" a="1"/>
  <c r="K2171" i="1" s="1"/>
  <c r="J2171" i="1" a="1"/>
  <c r="J2171" i="1" s="1"/>
  <c r="I2171" i="1" a="1"/>
  <c r="I2171" i="1" s="1"/>
  <c r="H2171" i="1" a="1"/>
  <c r="H2171" i="1" s="1"/>
  <c r="G2171" i="1" a="1"/>
  <c r="G2171" i="1" s="1"/>
  <c r="F2171" i="1" a="1"/>
  <c r="F2171" i="1" s="1"/>
  <c r="K2170" i="1" a="1"/>
  <c r="K2170" i="1" s="1"/>
  <c r="J2170" i="1" a="1"/>
  <c r="J2170" i="1" s="1"/>
  <c r="I2170" i="1" a="1"/>
  <c r="I2170" i="1" s="1"/>
  <c r="H2170" i="1" a="1"/>
  <c r="H2170" i="1" s="1"/>
  <c r="G2170" i="1" a="1"/>
  <c r="G2170" i="1" s="1"/>
  <c r="F2170" i="1" a="1"/>
  <c r="F2170" i="1" s="1"/>
  <c r="K2169" i="1" a="1"/>
  <c r="K2169" i="1" s="1"/>
  <c r="J2169" i="1" a="1"/>
  <c r="J2169" i="1" s="1"/>
  <c r="I2169" i="1" a="1"/>
  <c r="I2169" i="1" s="1"/>
  <c r="H2169" i="1" a="1"/>
  <c r="H2169" i="1" s="1"/>
  <c r="G2169" i="1" a="1"/>
  <c r="G2169" i="1" s="1"/>
  <c r="F2169" i="1" a="1"/>
  <c r="F2169" i="1" s="1"/>
  <c r="K2168" i="1" a="1"/>
  <c r="K2168" i="1" s="1"/>
  <c r="J2168" i="1" a="1"/>
  <c r="J2168" i="1" s="1"/>
  <c r="I2168" i="1" a="1"/>
  <c r="I2168" i="1" s="1"/>
  <c r="H2168" i="1" a="1"/>
  <c r="H2168" i="1" s="1"/>
  <c r="G2168" i="1" a="1"/>
  <c r="G2168" i="1" s="1"/>
  <c r="F2168" i="1" a="1"/>
  <c r="F2168" i="1" s="1"/>
  <c r="K2167" i="1" a="1"/>
  <c r="K2167" i="1" s="1"/>
  <c r="J2167" i="1" a="1"/>
  <c r="J2167" i="1" s="1"/>
  <c r="I2167" i="1" a="1"/>
  <c r="I2167" i="1" s="1"/>
  <c r="H2167" i="1" a="1"/>
  <c r="H2167" i="1" s="1"/>
  <c r="G2167" i="1" a="1"/>
  <c r="G2167" i="1" s="1"/>
  <c r="F2167" i="1" a="1"/>
  <c r="F2167" i="1" s="1"/>
  <c r="K2166" i="1" a="1"/>
  <c r="K2166" i="1" s="1"/>
  <c r="J2166" i="1" a="1"/>
  <c r="J2166" i="1" s="1"/>
  <c r="I2166" i="1" a="1"/>
  <c r="I2166" i="1" s="1"/>
  <c r="H2166" i="1" a="1"/>
  <c r="H2166" i="1" s="1"/>
  <c r="G2166" i="1" a="1"/>
  <c r="G2166" i="1" s="1"/>
  <c r="F2166" i="1" a="1"/>
  <c r="F2166" i="1" s="1"/>
  <c r="K2165" i="1" a="1"/>
  <c r="K2165" i="1" s="1"/>
  <c r="J2165" i="1" a="1"/>
  <c r="J2165" i="1" s="1"/>
  <c r="I2165" i="1" a="1"/>
  <c r="I2165" i="1" s="1"/>
  <c r="H2165" i="1" a="1"/>
  <c r="H2165" i="1" s="1"/>
  <c r="G2165" i="1" a="1"/>
  <c r="G2165" i="1" s="1"/>
  <c r="F2165" i="1" a="1"/>
  <c r="F2165" i="1" s="1"/>
  <c r="K2164" i="1" a="1"/>
  <c r="K2164" i="1" s="1"/>
  <c r="J2164" i="1" a="1"/>
  <c r="J2164" i="1" s="1"/>
  <c r="I2164" i="1" a="1"/>
  <c r="I2164" i="1" s="1"/>
  <c r="H2164" i="1" a="1"/>
  <c r="H2164" i="1" s="1"/>
  <c r="G2164" i="1" a="1"/>
  <c r="G2164" i="1" s="1"/>
  <c r="F2164" i="1" a="1"/>
  <c r="F2164" i="1" s="1"/>
  <c r="K2163" i="1" a="1"/>
  <c r="K2163" i="1" s="1"/>
  <c r="J2163" i="1" a="1"/>
  <c r="J2163" i="1" s="1"/>
  <c r="I2163" i="1" a="1"/>
  <c r="I2163" i="1" s="1"/>
  <c r="H2163" i="1" a="1"/>
  <c r="H2163" i="1" s="1"/>
  <c r="G2163" i="1" a="1"/>
  <c r="G2163" i="1" s="1"/>
  <c r="F2163" i="1" a="1"/>
  <c r="F2163" i="1" s="1"/>
  <c r="K2162" i="1" a="1"/>
  <c r="K2162" i="1" s="1"/>
  <c r="J2162" i="1" a="1"/>
  <c r="J2162" i="1" s="1"/>
  <c r="I2162" i="1" a="1"/>
  <c r="I2162" i="1" s="1"/>
  <c r="H2162" i="1" a="1"/>
  <c r="H2162" i="1" s="1"/>
  <c r="G2162" i="1" a="1"/>
  <c r="G2162" i="1" s="1"/>
  <c r="F2162" i="1" a="1"/>
  <c r="F2162" i="1" s="1"/>
  <c r="K2161" i="1" a="1"/>
  <c r="K2161" i="1" s="1"/>
  <c r="K2160" i="1" s="1"/>
  <c r="J2161" i="1" a="1"/>
  <c r="J2161" i="1" s="1"/>
  <c r="J2160" i="1" s="1"/>
  <c r="I2161" i="1" a="1"/>
  <c r="I2161" i="1" s="1"/>
  <c r="I2160" i="1" s="1"/>
  <c r="H2161" i="1" a="1"/>
  <c r="H2161" i="1" s="1"/>
  <c r="H2160" i="1" s="1"/>
  <c r="G2161" i="1" a="1"/>
  <c r="G2161" i="1" s="1"/>
  <c r="G2160" i="1" s="1"/>
  <c r="F2161" i="1" a="1"/>
  <c r="F2161" i="1" s="1"/>
  <c r="K2159" i="1" a="1"/>
  <c r="K2159" i="1" s="1"/>
  <c r="J2159" i="1" a="1"/>
  <c r="J2159" i="1" s="1"/>
  <c r="I2159" i="1" a="1"/>
  <c r="I2159" i="1" s="1"/>
  <c r="H2159" i="1" a="1"/>
  <c r="H2159" i="1" s="1"/>
  <c r="G2159" i="1" a="1"/>
  <c r="G2159" i="1" s="1"/>
  <c r="F2159" i="1" a="1"/>
  <c r="F2159" i="1" s="1"/>
  <c r="K2158" i="1" a="1"/>
  <c r="K2158" i="1" s="1"/>
  <c r="J2158" i="1" a="1"/>
  <c r="J2158" i="1" s="1"/>
  <c r="I2158" i="1" a="1"/>
  <c r="I2158" i="1" s="1"/>
  <c r="H2158" i="1" a="1"/>
  <c r="H2158" i="1" s="1"/>
  <c r="G2158" i="1" a="1"/>
  <c r="G2158" i="1" s="1"/>
  <c r="F2158" i="1" a="1"/>
  <c r="F2158" i="1" s="1"/>
  <c r="K2157" i="1" a="1"/>
  <c r="K2157" i="1" s="1"/>
  <c r="J2157" i="1" a="1"/>
  <c r="J2157" i="1" s="1"/>
  <c r="I2157" i="1" a="1"/>
  <c r="I2157" i="1" s="1"/>
  <c r="H2157" i="1" a="1"/>
  <c r="H2157" i="1" s="1"/>
  <c r="G2157" i="1" a="1"/>
  <c r="G2157" i="1" s="1"/>
  <c r="F2157" i="1" a="1"/>
  <c r="F2157" i="1" s="1"/>
  <c r="K2156" i="1" a="1"/>
  <c r="K2156" i="1" s="1"/>
  <c r="J2156" i="1" a="1"/>
  <c r="J2156" i="1" s="1"/>
  <c r="I2156" i="1" a="1"/>
  <c r="I2156" i="1" s="1"/>
  <c r="H2156" i="1" a="1"/>
  <c r="H2156" i="1" s="1"/>
  <c r="G2156" i="1" a="1"/>
  <c r="G2156" i="1" s="1"/>
  <c r="F2156" i="1" a="1"/>
  <c r="F2156" i="1" s="1"/>
  <c r="K2155" i="1" a="1"/>
  <c r="K2155" i="1" s="1"/>
  <c r="J2155" i="1" a="1"/>
  <c r="J2155" i="1" s="1"/>
  <c r="I2155" i="1" a="1"/>
  <c r="I2155" i="1" s="1"/>
  <c r="H2155" i="1" a="1"/>
  <c r="H2155" i="1" s="1"/>
  <c r="G2155" i="1" a="1"/>
  <c r="G2155" i="1" s="1"/>
  <c r="F2155" i="1" a="1"/>
  <c r="F2155" i="1" s="1"/>
  <c r="K2154" i="1" a="1"/>
  <c r="K2154" i="1" s="1"/>
  <c r="J2154" i="1" a="1"/>
  <c r="J2154" i="1" s="1"/>
  <c r="I2154" i="1" a="1"/>
  <c r="I2154" i="1" s="1"/>
  <c r="H2154" i="1" a="1"/>
  <c r="H2154" i="1" s="1"/>
  <c r="G2154" i="1" a="1"/>
  <c r="G2154" i="1" s="1"/>
  <c r="F2154" i="1" a="1"/>
  <c r="F2154" i="1" s="1"/>
  <c r="K2153" i="1" a="1"/>
  <c r="K2153" i="1" s="1"/>
  <c r="J2153" i="1" a="1"/>
  <c r="J2153" i="1" s="1"/>
  <c r="I2153" i="1" a="1"/>
  <c r="I2153" i="1" s="1"/>
  <c r="H2153" i="1" a="1"/>
  <c r="H2153" i="1" s="1"/>
  <c r="G2153" i="1" a="1"/>
  <c r="G2153" i="1" s="1"/>
  <c r="F2153" i="1" a="1"/>
  <c r="F2153" i="1" s="1"/>
  <c r="K2152" i="1" a="1"/>
  <c r="K2152" i="1" s="1"/>
  <c r="J2152" i="1" a="1"/>
  <c r="J2152" i="1" s="1"/>
  <c r="I2152" i="1" a="1"/>
  <c r="I2152" i="1" s="1"/>
  <c r="H2152" i="1" a="1"/>
  <c r="H2152" i="1" s="1"/>
  <c r="G2152" i="1" a="1"/>
  <c r="G2152" i="1" s="1"/>
  <c r="F2152" i="1" a="1"/>
  <c r="F2152" i="1" s="1"/>
  <c r="K2151" i="1" a="1"/>
  <c r="K2151" i="1" s="1"/>
  <c r="J2151" i="1" a="1"/>
  <c r="J2151" i="1" s="1"/>
  <c r="I2151" i="1" a="1"/>
  <c r="I2151" i="1" s="1"/>
  <c r="H2151" i="1" a="1"/>
  <c r="H2151" i="1" s="1"/>
  <c r="G2151" i="1" a="1"/>
  <c r="G2151" i="1" s="1"/>
  <c r="F2151" i="1" a="1"/>
  <c r="F2151" i="1" s="1"/>
  <c r="K2150" i="1" a="1"/>
  <c r="K2150" i="1" s="1"/>
  <c r="J2150" i="1" a="1"/>
  <c r="J2150" i="1" s="1"/>
  <c r="I2150" i="1" a="1"/>
  <c r="I2150" i="1" s="1"/>
  <c r="H2150" i="1" a="1"/>
  <c r="H2150" i="1" s="1"/>
  <c r="G2150" i="1" a="1"/>
  <c r="G2150" i="1" s="1"/>
  <c r="F2150" i="1" a="1"/>
  <c r="F2150" i="1" s="1"/>
  <c r="K2149" i="1" a="1"/>
  <c r="K2149" i="1" s="1"/>
  <c r="J2149" i="1" a="1"/>
  <c r="J2149" i="1" s="1"/>
  <c r="I2149" i="1" a="1"/>
  <c r="I2149" i="1" s="1"/>
  <c r="H2149" i="1" a="1"/>
  <c r="H2149" i="1" s="1"/>
  <c r="G2149" i="1" a="1"/>
  <c r="G2149" i="1" s="1"/>
  <c r="F2149" i="1" a="1"/>
  <c r="F2149" i="1" s="1"/>
  <c r="K2148" i="1" a="1"/>
  <c r="K2148" i="1" s="1"/>
  <c r="J2148" i="1" a="1"/>
  <c r="J2148" i="1" s="1"/>
  <c r="I2148" i="1" a="1"/>
  <c r="I2148" i="1" s="1"/>
  <c r="H2148" i="1" a="1"/>
  <c r="H2148" i="1" s="1"/>
  <c r="G2148" i="1" a="1"/>
  <c r="G2148" i="1" s="1"/>
  <c r="F2148" i="1" a="1"/>
  <c r="F2148" i="1" s="1"/>
  <c r="K2147" i="1" a="1"/>
  <c r="K2147" i="1" s="1"/>
  <c r="J2147" i="1" a="1"/>
  <c r="J2147" i="1" s="1"/>
  <c r="I2147" i="1" a="1"/>
  <c r="I2147" i="1" s="1"/>
  <c r="H2147" i="1" a="1"/>
  <c r="H2147" i="1" s="1"/>
  <c r="G2147" i="1" a="1"/>
  <c r="G2147" i="1" s="1"/>
  <c r="F2147" i="1" a="1"/>
  <c r="F2147" i="1" s="1"/>
  <c r="K2146" i="1" a="1"/>
  <c r="K2146" i="1" s="1"/>
  <c r="J2146" i="1" a="1"/>
  <c r="J2146" i="1" s="1"/>
  <c r="I2146" i="1" a="1"/>
  <c r="I2146" i="1" s="1"/>
  <c r="H2146" i="1" a="1"/>
  <c r="H2146" i="1" s="1"/>
  <c r="G2146" i="1" a="1"/>
  <c r="G2146" i="1" s="1"/>
  <c r="F2146" i="1" a="1"/>
  <c r="F2146" i="1" s="1"/>
  <c r="K2145" i="1" a="1"/>
  <c r="K2145" i="1" s="1"/>
  <c r="J2145" i="1" a="1"/>
  <c r="J2145" i="1" s="1"/>
  <c r="I2145" i="1" a="1"/>
  <c r="I2145" i="1" s="1"/>
  <c r="H2145" i="1" a="1"/>
  <c r="H2145" i="1" s="1"/>
  <c r="G2145" i="1" a="1"/>
  <c r="G2145" i="1" s="1"/>
  <c r="F2145" i="1" a="1"/>
  <c r="F2145" i="1" s="1"/>
  <c r="K2144" i="1" a="1"/>
  <c r="K2144" i="1" s="1"/>
  <c r="J2144" i="1" a="1"/>
  <c r="J2144" i="1" s="1"/>
  <c r="I2144" i="1" a="1"/>
  <c r="I2144" i="1" s="1"/>
  <c r="H2144" i="1" a="1"/>
  <c r="H2144" i="1" s="1"/>
  <c r="G2144" i="1" a="1"/>
  <c r="G2144" i="1" s="1"/>
  <c r="F2144" i="1" a="1"/>
  <c r="F2144" i="1" s="1"/>
  <c r="K2143" i="1" a="1"/>
  <c r="K2143" i="1" s="1"/>
  <c r="J2143" i="1" a="1"/>
  <c r="J2143" i="1" s="1"/>
  <c r="I2143" i="1" a="1"/>
  <c r="I2143" i="1" s="1"/>
  <c r="H2143" i="1" a="1"/>
  <c r="H2143" i="1" s="1"/>
  <c r="G2143" i="1" a="1"/>
  <c r="G2143" i="1" s="1"/>
  <c r="F2143" i="1" a="1"/>
  <c r="F2143" i="1" s="1"/>
  <c r="K2142" i="1" a="1"/>
  <c r="K2142" i="1" s="1"/>
  <c r="J2142" i="1" a="1"/>
  <c r="J2142" i="1" s="1"/>
  <c r="I2142" i="1" a="1"/>
  <c r="I2142" i="1" s="1"/>
  <c r="H2142" i="1" a="1"/>
  <c r="H2142" i="1" s="1"/>
  <c r="G2142" i="1" a="1"/>
  <c r="G2142" i="1" s="1"/>
  <c r="F2142" i="1" a="1"/>
  <c r="F2142" i="1" s="1"/>
  <c r="K2141" i="1" a="1"/>
  <c r="K2141" i="1" s="1"/>
  <c r="J2141" i="1" a="1"/>
  <c r="J2141" i="1" s="1"/>
  <c r="I2141" i="1" a="1"/>
  <c r="I2141" i="1" s="1"/>
  <c r="H2141" i="1" a="1"/>
  <c r="H2141" i="1" s="1"/>
  <c r="G2141" i="1" a="1"/>
  <c r="G2141" i="1" s="1"/>
  <c r="F2141" i="1" a="1"/>
  <c r="F2141" i="1" s="1"/>
  <c r="K2140" i="1" a="1"/>
  <c r="K2140" i="1" s="1"/>
  <c r="J2140" i="1" a="1"/>
  <c r="J2140" i="1" s="1"/>
  <c r="I2140" i="1" a="1"/>
  <c r="I2140" i="1" s="1"/>
  <c r="H2140" i="1" a="1"/>
  <c r="H2140" i="1" s="1"/>
  <c r="G2140" i="1" a="1"/>
  <c r="G2140" i="1" s="1"/>
  <c r="F2140" i="1" a="1"/>
  <c r="F2140" i="1" s="1"/>
  <c r="K2139" i="1" a="1"/>
  <c r="K2139" i="1" s="1"/>
  <c r="J2139" i="1" a="1"/>
  <c r="J2139" i="1" s="1"/>
  <c r="I2139" i="1" a="1"/>
  <c r="I2139" i="1" s="1"/>
  <c r="H2139" i="1" a="1"/>
  <c r="H2139" i="1" s="1"/>
  <c r="G2139" i="1" a="1"/>
  <c r="G2139" i="1" s="1"/>
  <c r="F2139" i="1" a="1"/>
  <c r="F2139" i="1" s="1"/>
  <c r="K2138" i="1" a="1"/>
  <c r="K2138" i="1" s="1"/>
  <c r="J2138" i="1" a="1"/>
  <c r="J2138" i="1" s="1"/>
  <c r="I2138" i="1" a="1"/>
  <c r="I2138" i="1" s="1"/>
  <c r="H2138" i="1" a="1"/>
  <c r="H2138" i="1" s="1"/>
  <c r="G2138" i="1" a="1"/>
  <c r="G2138" i="1" s="1"/>
  <c r="F2138" i="1" a="1"/>
  <c r="F2138" i="1" s="1"/>
  <c r="K2137" i="1" a="1"/>
  <c r="K2137" i="1" s="1"/>
  <c r="J2137" i="1" a="1"/>
  <c r="J2137" i="1" s="1"/>
  <c r="I2137" i="1" a="1"/>
  <c r="I2137" i="1" s="1"/>
  <c r="H2137" i="1" a="1"/>
  <c r="H2137" i="1" s="1"/>
  <c r="G2137" i="1" a="1"/>
  <c r="G2137" i="1" s="1"/>
  <c r="F2137" i="1" a="1"/>
  <c r="F2137" i="1" s="1"/>
  <c r="K2136" i="1" a="1"/>
  <c r="K2136" i="1" s="1"/>
  <c r="J2136" i="1" a="1"/>
  <c r="J2136" i="1" s="1"/>
  <c r="I2136" i="1" a="1"/>
  <c r="I2136" i="1" s="1"/>
  <c r="H2136" i="1" a="1"/>
  <c r="H2136" i="1" s="1"/>
  <c r="G2136" i="1" a="1"/>
  <c r="G2136" i="1" s="1"/>
  <c r="F2136" i="1" a="1"/>
  <c r="F2136" i="1" s="1"/>
  <c r="K2135" i="1" a="1"/>
  <c r="K2135" i="1" s="1"/>
  <c r="J2135" i="1" a="1"/>
  <c r="J2135" i="1" s="1"/>
  <c r="I2135" i="1" a="1"/>
  <c r="I2135" i="1" s="1"/>
  <c r="H2135" i="1" a="1"/>
  <c r="H2135" i="1" s="1"/>
  <c r="G2135" i="1" a="1"/>
  <c r="G2135" i="1" s="1"/>
  <c r="F2135" i="1" a="1"/>
  <c r="F2135" i="1" s="1"/>
  <c r="K2134" i="1" a="1"/>
  <c r="K2134" i="1" s="1"/>
  <c r="J2134" i="1" a="1"/>
  <c r="J2134" i="1" s="1"/>
  <c r="I2134" i="1" a="1"/>
  <c r="I2134" i="1" s="1"/>
  <c r="H2134" i="1" a="1"/>
  <c r="H2134" i="1" s="1"/>
  <c r="G2134" i="1" a="1"/>
  <c r="G2134" i="1" s="1"/>
  <c r="F2134" i="1" a="1"/>
  <c r="F2134" i="1" s="1"/>
  <c r="K2133" i="1" a="1"/>
  <c r="K2133" i="1" s="1"/>
  <c r="J2133" i="1" a="1"/>
  <c r="J2133" i="1" s="1"/>
  <c r="I2133" i="1" a="1"/>
  <c r="I2133" i="1" s="1"/>
  <c r="H2133" i="1" a="1"/>
  <c r="H2133" i="1" s="1"/>
  <c r="G2133" i="1" a="1"/>
  <c r="G2133" i="1" s="1"/>
  <c r="F2133" i="1" a="1"/>
  <c r="F2133" i="1" s="1"/>
  <c r="K2132" i="1" a="1"/>
  <c r="K2132" i="1" s="1"/>
  <c r="J2132" i="1" a="1"/>
  <c r="J2132" i="1" s="1"/>
  <c r="I2132" i="1" a="1"/>
  <c r="I2132" i="1" s="1"/>
  <c r="H2132" i="1" a="1"/>
  <c r="H2132" i="1" s="1"/>
  <c r="G2132" i="1" a="1"/>
  <c r="G2132" i="1" s="1"/>
  <c r="F2132" i="1" a="1"/>
  <c r="F2132" i="1" s="1"/>
  <c r="K2131" i="1" a="1"/>
  <c r="K2131" i="1" s="1"/>
  <c r="J2131" i="1" a="1"/>
  <c r="J2131" i="1" s="1"/>
  <c r="I2131" i="1" a="1"/>
  <c r="I2131" i="1" s="1"/>
  <c r="H2131" i="1" a="1"/>
  <c r="H2131" i="1" s="1"/>
  <c r="G2131" i="1" a="1"/>
  <c r="G2131" i="1" s="1"/>
  <c r="F2131" i="1" a="1"/>
  <c r="F2131" i="1" s="1"/>
  <c r="K2130" i="1" a="1"/>
  <c r="K2130" i="1" s="1"/>
  <c r="J2130" i="1" a="1"/>
  <c r="J2130" i="1" s="1"/>
  <c r="I2130" i="1" a="1"/>
  <c r="I2130" i="1" s="1"/>
  <c r="H2130" i="1" a="1"/>
  <c r="H2130" i="1" s="1"/>
  <c r="G2130" i="1" a="1"/>
  <c r="G2130" i="1" s="1"/>
  <c r="F2130" i="1" a="1"/>
  <c r="F2130" i="1" s="1"/>
  <c r="K2129" i="1" a="1"/>
  <c r="K2129" i="1" s="1"/>
  <c r="J2129" i="1" a="1"/>
  <c r="J2129" i="1" s="1"/>
  <c r="I2129" i="1" a="1"/>
  <c r="I2129" i="1" s="1"/>
  <c r="H2129" i="1" a="1"/>
  <c r="H2129" i="1" s="1"/>
  <c r="G2129" i="1" a="1"/>
  <c r="G2129" i="1" s="1"/>
  <c r="F2129" i="1" a="1"/>
  <c r="F2129" i="1" s="1"/>
  <c r="K2128" i="1" a="1"/>
  <c r="K2128" i="1" s="1"/>
  <c r="J2128" i="1" a="1"/>
  <c r="J2128" i="1" s="1"/>
  <c r="I2128" i="1" a="1"/>
  <c r="I2128" i="1" s="1"/>
  <c r="H2128" i="1" a="1"/>
  <c r="H2128" i="1" s="1"/>
  <c r="G2128" i="1" a="1"/>
  <c r="G2128" i="1" s="1"/>
  <c r="F2128" i="1" a="1"/>
  <c r="F2128" i="1" s="1"/>
  <c r="K2127" i="1" a="1"/>
  <c r="K2127" i="1" s="1"/>
  <c r="J2127" i="1" a="1"/>
  <c r="J2127" i="1" s="1"/>
  <c r="I2127" i="1" a="1"/>
  <c r="I2127" i="1" s="1"/>
  <c r="H2127" i="1" a="1"/>
  <c r="H2127" i="1" s="1"/>
  <c r="G2127" i="1" a="1"/>
  <c r="G2127" i="1" s="1"/>
  <c r="F2127" i="1" a="1"/>
  <c r="F2127" i="1" s="1"/>
  <c r="K2126" i="1" a="1"/>
  <c r="K2126" i="1" s="1"/>
  <c r="J2126" i="1" a="1"/>
  <c r="J2126" i="1" s="1"/>
  <c r="I2126" i="1" a="1"/>
  <c r="I2126" i="1" s="1"/>
  <c r="H2126" i="1" a="1"/>
  <c r="H2126" i="1" s="1"/>
  <c r="G2126" i="1" a="1"/>
  <c r="G2126" i="1" s="1"/>
  <c r="F2126" i="1" a="1"/>
  <c r="F2126" i="1" s="1"/>
  <c r="K2125" i="1" a="1"/>
  <c r="K2125" i="1" s="1"/>
  <c r="J2125" i="1" a="1"/>
  <c r="J2125" i="1" s="1"/>
  <c r="I2125" i="1" a="1"/>
  <c r="I2125" i="1" s="1"/>
  <c r="H2125" i="1" a="1"/>
  <c r="H2125" i="1" s="1"/>
  <c r="G2125" i="1" a="1"/>
  <c r="G2125" i="1" s="1"/>
  <c r="F2125" i="1" a="1"/>
  <c r="F2125" i="1" s="1"/>
  <c r="K2124" i="1" a="1"/>
  <c r="K2124" i="1" s="1"/>
  <c r="J2124" i="1" a="1"/>
  <c r="J2124" i="1" s="1"/>
  <c r="I2124" i="1" a="1"/>
  <c r="I2124" i="1" s="1"/>
  <c r="H2124" i="1" a="1"/>
  <c r="H2124" i="1" s="1"/>
  <c r="G2124" i="1" a="1"/>
  <c r="G2124" i="1" s="1"/>
  <c r="F2124" i="1" a="1"/>
  <c r="F2124" i="1" s="1"/>
  <c r="K2123" i="1" a="1"/>
  <c r="K2123" i="1" s="1"/>
  <c r="J2123" i="1" a="1"/>
  <c r="J2123" i="1" s="1"/>
  <c r="I2123" i="1" a="1"/>
  <c r="I2123" i="1" s="1"/>
  <c r="H2123" i="1" a="1"/>
  <c r="H2123" i="1" s="1"/>
  <c r="G2123" i="1" a="1"/>
  <c r="G2123" i="1" s="1"/>
  <c r="F2123" i="1" a="1"/>
  <c r="F2123" i="1" s="1"/>
  <c r="K2122" i="1" a="1"/>
  <c r="K2122" i="1" s="1"/>
  <c r="J2122" i="1" a="1"/>
  <c r="J2122" i="1" s="1"/>
  <c r="I2122" i="1" a="1"/>
  <c r="I2122" i="1" s="1"/>
  <c r="H2122" i="1" a="1"/>
  <c r="H2122" i="1" s="1"/>
  <c r="G2122" i="1" a="1"/>
  <c r="G2122" i="1" s="1"/>
  <c r="F2122" i="1" a="1"/>
  <c r="F2122" i="1" s="1"/>
  <c r="K2121" i="1" a="1"/>
  <c r="K2121" i="1" s="1"/>
  <c r="J2121" i="1" a="1"/>
  <c r="J2121" i="1" s="1"/>
  <c r="I2121" i="1" a="1"/>
  <c r="I2121" i="1" s="1"/>
  <c r="H2121" i="1" a="1"/>
  <c r="H2121" i="1" s="1"/>
  <c r="G2121" i="1" a="1"/>
  <c r="G2121" i="1" s="1"/>
  <c r="F2121" i="1" a="1"/>
  <c r="F2121" i="1" s="1"/>
  <c r="K2120" i="1" a="1"/>
  <c r="K2120" i="1" s="1"/>
  <c r="J2120" i="1" a="1"/>
  <c r="J2120" i="1" s="1"/>
  <c r="I2120" i="1" a="1"/>
  <c r="I2120" i="1" s="1"/>
  <c r="H2120" i="1" a="1"/>
  <c r="H2120" i="1" s="1"/>
  <c r="G2120" i="1" a="1"/>
  <c r="G2120" i="1" s="1"/>
  <c r="F2120" i="1" a="1"/>
  <c r="F2120" i="1" s="1"/>
  <c r="K2119" i="1" a="1"/>
  <c r="K2119" i="1" s="1"/>
  <c r="J2119" i="1" a="1"/>
  <c r="J2119" i="1" s="1"/>
  <c r="I2119" i="1" a="1"/>
  <c r="I2119" i="1" s="1"/>
  <c r="H2119" i="1" a="1"/>
  <c r="H2119" i="1" s="1"/>
  <c r="G2119" i="1" a="1"/>
  <c r="G2119" i="1" s="1"/>
  <c r="F2119" i="1" a="1"/>
  <c r="F2119" i="1" s="1"/>
  <c r="K2118" i="1" a="1"/>
  <c r="K2118" i="1" s="1"/>
  <c r="J2118" i="1" a="1"/>
  <c r="J2118" i="1" s="1"/>
  <c r="I2118" i="1" a="1"/>
  <c r="I2118" i="1" s="1"/>
  <c r="H2118" i="1" a="1"/>
  <c r="H2118" i="1" s="1"/>
  <c r="G2118" i="1" a="1"/>
  <c r="G2118" i="1" s="1"/>
  <c r="F2118" i="1" a="1"/>
  <c r="F2118" i="1" s="1"/>
  <c r="K2117" i="1" a="1"/>
  <c r="K2117" i="1" s="1"/>
  <c r="J2117" i="1" a="1"/>
  <c r="J2117" i="1" s="1"/>
  <c r="I2117" i="1" a="1"/>
  <c r="I2117" i="1" s="1"/>
  <c r="H2117" i="1" a="1"/>
  <c r="H2117" i="1" s="1"/>
  <c r="G2117" i="1" a="1"/>
  <c r="G2117" i="1" s="1"/>
  <c r="F2117" i="1" a="1"/>
  <c r="F2117" i="1" s="1"/>
  <c r="K2116" i="1" a="1"/>
  <c r="K2116" i="1" s="1"/>
  <c r="J2116" i="1" a="1"/>
  <c r="J2116" i="1" s="1"/>
  <c r="I2116" i="1" a="1"/>
  <c r="I2116" i="1" s="1"/>
  <c r="H2116" i="1" a="1"/>
  <c r="H2116" i="1" s="1"/>
  <c r="G2116" i="1" a="1"/>
  <c r="G2116" i="1" s="1"/>
  <c r="F2116" i="1" a="1"/>
  <c r="F2116" i="1" s="1"/>
  <c r="K2115" i="1" a="1"/>
  <c r="K2115" i="1" s="1"/>
  <c r="J2115" i="1" a="1"/>
  <c r="J2115" i="1" s="1"/>
  <c r="I2115" i="1" a="1"/>
  <c r="I2115" i="1" s="1"/>
  <c r="H2115" i="1" a="1"/>
  <c r="H2115" i="1" s="1"/>
  <c r="G2115" i="1" a="1"/>
  <c r="G2115" i="1" s="1"/>
  <c r="F2115" i="1" a="1"/>
  <c r="F2115" i="1" s="1"/>
  <c r="K2114" i="1" a="1"/>
  <c r="K2114" i="1" s="1"/>
  <c r="J2114" i="1" a="1"/>
  <c r="J2114" i="1" s="1"/>
  <c r="I2114" i="1" a="1"/>
  <c r="I2114" i="1" s="1"/>
  <c r="H2114" i="1" a="1"/>
  <c r="H2114" i="1" s="1"/>
  <c r="G2114" i="1" a="1"/>
  <c r="G2114" i="1" s="1"/>
  <c r="F2114" i="1" a="1"/>
  <c r="F2114" i="1" s="1"/>
  <c r="K2113" i="1" a="1"/>
  <c r="K2113" i="1" s="1"/>
  <c r="J2113" i="1" a="1"/>
  <c r="J2113" i="1" s="1"/>
  <c r="I2113" i="1" a="1"/>
  <c r="I2113" i="1" s="1"/>
  <c r="H2113" i="1" a="1"/>
  <c r="H2113" i="1" s="1"/>
  <c r="G2113" i="1" a="1"/>
  <c r="G2113" i="1" s="1"/>
  <c r="F2113" i="1" a="1"/>
  <c r="F2113" i="1" s="1"/>
  <c r="K2112" i="1" a="1"/>
  <c r="K2112" i="1" s="1"/>
  <c r="J2112" i="1" a="1"/>
  <c r="J2112" i="1" s="1"/>
  <c r="I2112" i="1" a="1"/>
  <c r="I2112" i="1" s="1"/>
  <c r="H2112" i="1" a="1"/>
  <c r="H2112" i="1" s="1"/>
  <c r="G2112" i="1" a="1"/>
  <c r="G2112" i="1" s="1"/>
  <c r="F2112" i="1" a="1"/>
  <c r="F2112" i="1" s="1"/>
  <c r="K2111" i="1" a="1"/>
  <c r="K2111" i="1" s="1"/>
  <c r="J2111" i="1" a="1"/>
  <c r="J2111" i="1" s="1"/>
  <c r="I2111" i="1" a="1"/>
  <c r="I2111" i="1" s="1"/>
  <c r="H2111" i="1" a="1"/>
  <c r="H2111" i="1" s="1"/>
  <c r="G2111" i="1" a="1"/>
  <c r="G2111" i="1" s="1"/>
  <c r="F2111" i="1" a="1"/>
  <c r="F2111" i="1" s="1"/>
  <c r="K2110" i="1" a="1"/>
  <c r="K2110" i="1" s="1"/>
  <c r="J2110" i="1" a="1"/>
  <c r="J2110" i="1" s="1"/>
  <c r="I2110" i="1" a="1"/>
  <c r="I2110" i="1" s="1"/>
  <c r="H2110" i="1" a="1"/>
  <c r="H2110" i="1" s="1"/>
  <c r="G2110" i="1" a="1"/>
  <c r="G2110" i="1" s="1"/>
  <c r="F2110" i="1" a="1"/>
  <c r="F2110" i="1" s="1"/>
  <c r="K2108" i="1"/>
  <c r="J2108" i="1"/>
  <c r="I2108" i="1"/>
  <c r="H2108" i="1"/>
  <c r="G2108" i="1"/>
  <c r="F2108" i="1"/>
  <c r="K2107" i="1"/>
  <c r="J2107" i="1"/>
  <c r="I2107" i="1"/>
  <c r="H2107" i="1"/>
  <c r="G2107" i="1"/>
  <c r="F2107" i="1"/>
  <c r="K2106" i="1"/>
  <c r="J2106" i="1"/>
  <c r="I2106" i="1"/>
  <c r="H2106" i="1"/>
  <c r="G2106" i="1"/>
  <c r="F2106" i="1"/>
  <c r="K2105" i="1"/>
  <c r="J2105" i="1"/>
  <c r="I2105" i="1"/>
  <c r="H2105" i="1"/>
  <c r="G2105" i="1"/>
  <c r="F2105" i="1"/>
  <c r="K2104" i="1"/>
  <c r="J2104" i="1"/>
  <c r="I2104" i="1"/>
  <c r="H2104" i="1"/>
  <c r="G2104" i="1"/>
  <c r="F2104" i="1"/>
  <c r="K2103" i="1"/>
  <c r="J2103" i="1"/>
  <c r="I2103" i="1"/>
  <c r="H2103" i="1"/>
  <c r="G2103" i="1"/>
  <c r="F2103" i="1"/>
  <c r="K2102" i="1"/>
  <c r="K2101" i="1" s="1"/>
  <c r="J2102" i="1"/>
  <c r="J2101" i="1" s="1"/>
  <c r="I2102" i="1"/>
  <c r="I2101" i="1" s="1"/>
  <c r="H2102" i="1"/>
  <c r="H2101" i="1" s="1"/>
  <c r="G2102" i="1"/>
  <c r="G2101" i="1" s="1"/>
  <c r="F2102" i="1"/>
  <c r="F2101" i="1" s="1"/>
  <c r="K2100" i="1"/>
  <c r="J2100" i="1"/>
  <c r="I2100" i="1"/>
  <c r="H2100" i="1"/>
  <c r="G2100" i="1"/>
  <c r="F2100" i="1"/>
  <c r="K2099" i="1"/>
  <c r="J2099" i="1"/>
  <c r="I2099" i="1"/>
  <c r="H2099" i="1"/>
  <c r="G2099" i="1"/>
  <c r="F2099" i="1"/>
  <c r="K2098" i="1"/>
  <c r="K2097" i="1" s="1"/>
  <c r="J2098" i="1"/>
  <c r="J2097" i="1" s="1"/>
  <c r="I2098" i="1"/>
  <c r="I2097" i="1" s="1"/>
  <c r="H2098" i="1"/>
  <c r="H2097" i="1" s="1"/>
  <c r="G2098" i="1"/>
  <c r="G2097" i="1" s="1"/>
  <c r="F2098" i="1"/>
  <c r="F2097" i="1" s="1"/>
  <c r="K2095" i="1"/>
  <c r="K2096" i="1" s="1"/>
  <c r="J2095" i="1"/>
  <c r="J2096" i="1" s="1"/>
  <c r="I2095" i="1"/>
  <c r="I2096" i="1" s="1"/>
  <c r="H2095" i="1"/>
  <c r="H2096" i="1" s="1"/>
  <c r="G2095" i="1"/>
  <c r="G2096" i="1" s="1"/>
  <c r="F2095" i="1"/>
  <c r="F2096" i="1" s="1"/>
  <c r="K2094" i="1"/>
  <c r="J2094" i="1"/>
  <c r="I2094" i="1"/>
  <c r="H2094" i="1"/>
  <c r="G2094" i="1"/>
  <c r="F2094" i="1"/>
  <c r="K2093" i="1"/>
  <c r="J2093" i="1"/>
  <c r="I2093" i="1"/>
  <c r="H2093" i="1"/>
  <c r="G2093" i="1"/>
  <c r="F2093" i="1"/>
  <c r="K2092" i="1"/>
  <c r="J2092" i="1"/>
  <c r="I2092" i="1"/>
  <c r="H2092" i="1"/>
  <c r="G2092" i="1"/>
  <c r="F2092" i="1"/>
  <c r="K2091" i="1"/>
  <c r="J2091" i="1"/>
  <c r="I2091" i="1"/>
  <c r="H2091" i="1"/>
  <c r="G2091" i="1"/>
  <c r="F2091" i="1"/>
  <c r="K2090" i="1"/>
  <c r="J2090" i="1"/>
  <c r="I2090" i="1"/>
  <c r="H2090" i="1"/>
  <c r="G2090" i="1"/>
  <c r="F2090" i="1"/>
  <c r="K2088" i="1"/>
  <c r="K2087" i="1" s="1"/>
  <c r="J2088" i="1"/>
  <c r="J2087" i="1" s="1"/>
  <c r="I2088" i="1"/>
  <c r="I2087" i="1" s="1"/>
  <c r="H2088" i="1"/>
  <c r="H2087" i="1" s="1"/>
  <c r="G2088" i="1"/>
  <c r="G2087" i="1" s="1"/>
  <c r="F2088" i="1"/>
  <c r="F2087" i="1" s="1"/>
  <c r="K2086" i="1"/>
  <c r="J2086" i="1"/>
  <c r="I2086" i="1"/>
  <c r="H2086" i="1"/>
  <c r="G2086" i="1"/>
  <c r="F2086" i="1"/>
  <c r="K2085" i="1"/>
  <c r="J2085" i="1"/>
  <c r="I2085" i="1"/>
  <c r="H2085" i="1"/>
  <c r="G2085" i="1"/>
  <c r="F2085" i="1"/>
  <c r="K2084" i="1"/>
  <c r="J2084" i="1"/>
  <c r="I2084" i="1"/>
  <c r="H2084" i="1"/>
  <c r="G2084" i="1"/>
  <c r="F2084" i="1"/>
  <c r="K2083" i="1"/>
  <c r="J2083" i="1"/>
  <c r="I2083" i="1"/>
  <c r="H2083" i="1"/>
  <c r="G2083" i="1"/>
  <c r="F2083" i="1"/>
  <c r="K2082" i="1"/>
  <c r="J2082" i="1"/>
  <c r="I2082" i="1"/>
  <c r="H2082" i="1"/>
  <c r="G2082" i="1"/>
  <c r="F2082" i="1"/>
  <c r="K2081" i="1"/>
  <c r="J2081" i="1"/>
  <c r="I2081" i="1"/>
  <c r="H2081" i="1"/>
  <c r="G2081" i="1"/>
  <c r="F2081" i="1"/>
  <c r="K2080" i="1"/>
  <c r="K2079" i="1" s="1"/>
  <c r="J2080" i="1"/>
  <c r="J2079" i="1" s="1"/>
  <c r="I2080" i="1"/>
  <c r="I2079" i="1" s="1"/>
  <c r="H2080" i="1"/>
  <c r="H2079" i="1" s="1"/>
  <c r="G2080" i="1"/>
  <c r="G2079" i="1" s="1"/>
  <c r="F2080" i="1"/>
  <c r="F2079" i="1" s="1"/>
  <c r="K2078" i="1"/>
  <c r="J2078" i="1"/>
  <c r="I2078" i="1"/>
  <c r="H2078" i="1"/>
  <c r="G2078" i="1"/>
  <c r="F2078" i="1"/>
  <c r="K2077" i="1"/>
  <c r="J2077" i="1"/>
  <c r="I2077" i="1"/>
  <c r="H2077" i="1"/>
  <c r="G2077" i="1"/>
  <c r="F2077" i="1"/>
  <c r="K2076" i="1"/>
  <c r="J2076" i="1"/>
  <c r="I2076" i="1"/>
  <c r="H2076" i="1"/>
  <c r="G2076" i="1"/>
  <c r="F2076" i="1"/>
  <c r="K2075" i="1"/>
  <c r="J2075" i="1"/>
  <c r="I2075" i="1"/>
  <c r="H2075" i="1"/>
  <c r="G2075" i="1"/>
  <c r="F2075" i="1"/>
  <c r="K2074" i="1"/>
  <c r="J2074" i="1"/>
  <c r="I2074" i="1"/>
  <c r="H2074" i="1"/>
  <c r="G2074" i="1"/>
  <c r="F2074" i="1"/>
  <c r="K2073" i="1"/>
  <c r="K2072" i="1" s="1"/>
  <c r="J2073" i="1"/>
  <c r="J2072" i="1" s="1"/>
  <c r="I2073" i="1"/>
  <c r="I2072" i="1" s="1"/>
  <c r="H2073" i="1"/>
  <c r="H2072" i="1" s="1"/>
  <c r="G2073" i="1"/>
  <c r="G2072" i="1" s="1"/>
  <c r="F2073" i="1"/>
  <c r="F2072" i="1" s="1"/>
  <c r="K2071" i="1"/>
  <c r="J2071" i="1"/>
  <c r="I2071" i="1"/>
  <c r="H2071" i="1"/>
  <c r="G2071" i="1"/>
  <c r="F2071" i="1"/>
  <c r="K2070" i="1"/>
  <c r="J2070" i="1"/>
  <c r="I2070" i="1"/>
  <c r="H2070" i="1"/>
  <c r="G2070" i="1"/>
  <c r="F2070" i="1"/>
  <c r="K2069" i="1"/>
  <c r="J2069" i="1"/>
  <c r="I2069" i="1"/>
  <c r="H2069" i="1"/>
  <c r="G2069" i="1"/>
  <c r="F2069" i="1"/>
  <c r="K2068" i="1"/>
  <c r="J2068" i="1"/>
  <c r="I2068" i="1"/>
  <c r="H2068" i="1"/>
  <c r="G2068" i="1"/>
  <c r="F2068" i="1"/>
  <c r="K2067" i="1"/>
  <c r="J2067" i="1"/>
  <c r="I2067" i="1"/>
  <c r="H2067" i="1"/>
  <c r="G2067" i="1"/>
  <c r="F2067" i="1"/>
  <c r="K2066" i="1"/>
  <c r="J2066" i="1"/>
  <c r="I2066" i="1"/>
  <c r="H2066" i="1"/>
  <c r="G2066" i="1"/>
  <c r="F2066" i="1"/>
  <c r="K2065" i="1"/>
  <c r="J2065" i="1"/>
  <c r="I2065" i="1"/>
  <c r="H2065" i="1"/>
  <c r="G2065" i="1"/>
  <c r="F2065" i="1"/>
  <c r="K2064" i="1"/>
  <c r="J2064" i="1"/>
  <c r="I2064" i="1"/>
  <c r="H2064" i="1"/>
  <c r="G2064" i="1"/>
  <c r="F2064" i="1"/>
  <c r="K2063" i="1"/>
  <c r="J2063" i="1"/>
  <c r="I2063" i="1"/>
  <c r="H2063" i="1"/>
  <c r="G2063" i="1"/>
  <c r="F2063" i="1"/>
  <c r="K2062" i="1"/>
  <c r="J2062" i="1"/>
  <c r="I2062" i="1"/>
  <c r="H2062" i="1"/>
  <c r="G2062" i="1"/>
  <c r="F2062" i="1"/>
  <c r="K2061" i="1"/>
  <c r="J2061" i="1"/>
  <c r="I2061" i="1"/>
  <c r="H2061" i="1"/>
  <c r="G2061" i="1"/>
  <c r="F2061" i="1"/>
  <c r="K2060" i="1"/>
  <c r="J2060" i="1"/>
  <c r="I2060" i="1"/>
  <c r="H2060" i="1"/>
  <c r="G2060" i="1"/>
  <c r="F2060" i="1"/>
  <c r="K2059" i="1"/>
  <c r="J2059" i="1"/>
  <c r="I2059" i="1"/>
  <c r="H2059" i="1"/>
  <c r="G2059" i="1"/>
  <c r="F2059" i="1"/>
  <c r="K2058" i="1"/>
  <c r="J2058" i="1"/>
  <c r="I2058" i="1"/>
  <c r="H2058" i="1"/>
  <c r="G2058" i="1"/>
  <c r="F2058" i="1"/>
  <c r="K2057" i="1"/>
  <c r="K2056" i="1" s="1"/>
  <c r="J2057" i="1"/>
  <c r="J2056" i="1" s="1"/>
  <c r="I2057" i="1"/>
  <c r="I2056" i="1" s="1"/>
  <c r="H2057" i="1"/>
  <c r="H2056" i="1" s="1"/>
  <c r="G2057" i="1"/>
  <c r="G2056" i="1" s="1"/>
  <c r="F2057" i="1"/>
  <c r="F2056" i="1" s="1"/>
  <c r="K2055" i="1"/>
  <c r="J2055" i="1"/>
  <c r="I2055" i="1"/>
  <c r="H2055" i="1"/>
  <c r="G2055" i="1"/>
  <c r="F2055" i="1"/>
  <c r="K2054" i="1"/>
  <c r="J2054" i="1"/>
  <c r="I2054" i="1"/>
  <c r="H2054" i="1"/>
  <c r="G2054" i="1"/>
  <c r="F2054" i="1"/>
  <c r="K2053" i="1"/>
  <c r="K2052" i="1" s="1"/>
  <c r="J2053" i="1"/>
  <c r="J2052" i="1" s="1"/>
  <c r="I2053" i="1"/>
  <c r="I2052" i="1" s="1"/>
  <c r="H2053" i="1"/>
  <c r="H2052" i="1" s="1"/>
  <c r="G2053" i="1"/>
  <c r="G2052" i="1" s="1"/>
  <c r="F2053" i="1"/>
  <c r="F2052" i="1" s="1"/>
  <c r="K2051" i="1"/>
  <c r="J2051" i="1"/>
  <c r="I2051" i="1"/>
  <c r="H2051" i="1"/>
  <c r="G2051" i="1"/>
  <c r="F2051" i="1"/>
  <c r="K2050" i="1"/>
  <c r="J2050" i="1"/>
  <c r="I2050" i="1"/>
  <c r="H2050" i="1"/>
  <c r="G2050" i="1"/>
  <c r="F2050" i="1"/>
  <c r="K2049" i="1"/>
  <c r="K2048" i="1" s="1"/>
  <c r="J2049" i="1"/>
  <c r="J2048" i="1" s="1"/>
  <c r="I2049" i="1"/>
  <c r="I2048" i="1" s="1"/>
  <c r="H2049" i="1"/>
  <c r="H2048" i="1" s="1"/>
  <c r="G2049" i="1"/>
  <c r="G2048" i="1" s="1"/>
  <c r="F2049" i="1"/>
  <c r="F2048" i="1" s="1"/>
  <c r="K2047" i="1"/>
  <c r="K2046" i="1" s="1"/>
  <c r="J2047" i="1"/>
  <c r="J2046" i="1" s="1"/>
  <c r="I2047" i="1"/>
  <c r="I2046" i="1" s="1"/>
  <c r="H2047" i="1"/>
  <c r="H2046" i="1" s="1"/>
  <c r="G2047" i="1"/>
  <c r="G2046" i="1" s="1"/>
  <c r="F2047" i="1"/>
  <c r="F2046" i="1" s="1"/>
  <c r="E2230" i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229" i="1"/>
  <c r="E2110" i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046" i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C2045" i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B2045" i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K1817" i="1"/>
  <c r="J1817" i="1"/>
  <c r="I1817" i="1"/>
  <c r="H1817" i="1"/>
  <c r="G1817" i="1"/>
  <c r="F1817" i="1"/>
  <c r="K1816" i="1"/>
  <c r="J1816" i="1"/>
  <c r="I1816" i="1"/>
  <c r="H1816" i="1"/>
  <c r="G1816" i="1"/>
  <c r="F1816" i="1"/>
  <c r="K1815" i="1"/>
  <c r="J1815" i="1"/>
  <c r="I1815" i="1"/>
  <c r="H1815" i="1"/>
  <c r="G1815" i="1"/>
  <c r="F1815" i="1"/>
  <c r="K1814" i="1"/>
  <c r="J1814" i="1"/>
  <c r="I1814" i="1"/>
  <c r="H1814" i="1"/>
  <c r="G1814" i="1"/>
  <c r="F1814" i="1"/>
  <c r="K1813" i="1"/>
  <c r="J1813" i="1"/>
  <c r="I1813" i="1"/>
  <c r="H1813" i="1"/>
  <c r="G1813" i="1"/>
  <c r="F1813" i="1"/>
  <c r="K1812" i="1"/>
  <c r="J1812" i="1"/>
  <c r="I1812" i="1"/>
  <c r="H1812" i="1"/>
  <c r="G1812" i="1"/>
  <c r="F1812" i="1"/>
  <c r="K1811" i="1"/>
  <c r="J1811" i="1"/>
  <c r="I1811" i="1"/>
  <c r="H1811" i="1"/>
  <c r="G1811" i="1"/>
  <c r="F1811" i="1"/>
  <c r="K1809" i="1"/>
  <c r="J1809" i="1"/>
  <c r="I1809" i="1"/>
  <c r="H1809" i="1"/>
  <c r="G1809" i="1"/>
  <c r="F1809" i="1"/>
  <c r="K1808" i="1"/>
  <c r="J1808" i="1"/>
  <c r="I1808" i="1"/>
  <c r="H1808" i="1"/>
  <c r="G1808" i="1"/>
  <c r="F1808" i="1"/>
  <c r="K1807" i="1"/>
  <c r="J1807" i="1"/>
  <c r="I1807" i="1"/>
  <c r="H1807" i="1"/>
  <c r="G1807" i="1"/>
  <c r="F1807" i="1"/>
  <c r="K1804" i="1"/>
  <c r="J1804" i="1"/>
  <c r="I1804" i="1"/>
  <c r="H1804" i="1"/>
  <c r="G1804" i="1"/>
  <c r="F1804" i="1"/>
  <c r="K1803" i="1"/>
  <c r="J1803" i="1"/>
  <c r="I1803" i="1"/>
  <c r="H1803" i="1"/>
  <c r="G1803" i="1"/>
  <c r="F1803" i="1"/>
  <c r="K1802" i="1"/>
  <c r="J1802" i="1"/>
  <c r="I1802" i="1"/>
  <c r="H1802" i="1"/>
  <c r="G1802" i="1"/>
  <c r="F1802" i="1"/>
  <c r="K1801" i="1"/>
  <c r="J1801" i="1"/>
  <c r="I1801" i="1"/>
  <c r="H1801" i="1"/>
  <c r="G1801" i="1"/>
  <c r="F1801" i="1"/>
  <c r="K1800" i="1"/>
  <c r="J1800" i="1"/>
  <c r="I1800" i="1"/>
  <c r="H1800" i="1"/>
  <c r="G1800" i="1"/>
  <c r="F1800" i="1"/>
  <c r="K1799" i="1"/>
  <c r="J1799" i="1"/>
  <c r="I1799" i="1"/>
  <c r="H1799" i="1"/>
  <c r="G1799" i="1"/>
  <c r="F1799" i="1"/>
  <c r="K1797" i="1"/>
  <c r="J1797" i="1"/>
  <c r="I1797" i="1"/>
  <c r="H1797" i="1"/>
  <c r="G1797" i="1"/>
  <c r="F1797" i="1"/>
  <c r="K1795" i="1"/>
  <c r="J1795" i="1"/>
  <c r="I1795" i="1"/>
  <c r="H1795" i="1"/>
  <c r="G1795" i="1"/>
  <c r="F1795" i="1"/>
  <c r="K1794" i="1"/>
  <c r="J1794" i="1"/>
  <c r="I1794" i="1"/>
  <c r="H1794" i="1"/>
  <c r="G1794" i="1"/>
  <c r="F1794" i="1"/>
  <c r="K1793" i="1"/>
  <c r="J1793" i="1"/>
  <c r="I1793" i="1"/>
  <c r="H1793" i="1"/>
  <c r="G1793" i="1"/>
  <c r="F1793" i="1"/>
  <c r="K1792" i="1"/>
  <c r="J1792" i="1"/>
  <c r="I1792" i="1"/>
  <c r="H1792" i="1"/>
  <c r="G1792" i="1"/>
  <c r="F1792" i="1"/>
  <c r="K1791" i="1"/>
  <c r="J1791" i="1"/>
  <c r="I1791" i="1"/>
  <c r="H1791" i="1"/>
  <c r="G1791" i="1"/>
  <c r="F1791" i="1"/>
  <c r="K1790" i="1"/>
  <c r="J1790" i="1"/>
  <c r="I1790" i="1"/>
  <c r="H1790" i="1"/>
  <c r="G1790" i="1"/>
  <c r="F1790" i="1"/>
  <c r="K1789" i="1"/>
  <c r="J1789" i="1"/>
  <c r="I1789" i="1"/>
  <c r="H1789" i="1"/>
  <c r="G1789" i="1"/>
  <c r="F1789" i="1"/>
  <c r="K1787" i="1"/>
  <c r="J1787" i="1"/>
  <c r="I1787" i="1"/>
  <c r="H1787" i="1"/>
  <c r="G1787" i="1"/>
  <c r="F1787" i="1"/>
  <c r="K1786" i="1"/>
  <c r="J1786" i="1"/>
  <c r="I1786" i="1"/>
  <c r="H1786" i="1"/>
  <c r="G1786" i="1"/>
  <c r="F1786" i="1"/>
  <c r="K1785" i="1"/>
  <c r="J1785" i="1"/>
  <c r="I1785" i="1"/>
  <c r="H1785" i="1"/>
  <c r="G1785" i="1"/>
  <c r="F1785" i="1"/>
  <c r="K1784" i="1"/>
  <c r="J1784" i="1"/>
  <c r="I1784" i="1"/>
  <c r="H1784" i="1"/>
  <c r="G1784" i="1"/>
  <c r="F1784" i="1"/>
  <c r="K1783" i="1"/>
  <c r="J1783" i="1"/>
  <c r="I1783" i="1"/>
  <c r="H1783" i="1"/>
  <c r="G1783" i="1"/>
  <c r="F1783" i="1"/>
  <c r="K1782" i="1"/>
  <c r="J1782" i="1"/>
  <c r="I1782" i="1"/>
  <c r="H1782" i="1"/>
  <c r="G1782" i="1"/>
  <c r="F1782" i="1"/>
  <c r="K1780" i="1"/>
  <c r="J1780" i="1"/>
  <c r="I1780" i="1"/>
  <c r="H1780" i="1"/>
  <c r="G1780" i="1"/>
  <c r="F1780" i="1"/>
  <c r="K1779" i="1"/>
  <c r="J1779" i="1"/>
  <c r="I1779" i="1"/>
  <c r="H1779" i="1"/>
  <c r="G1779" i="1"/>
  <c r="F1779" i="1"/>
  <c r="K1778" i="1"/>
  <c r="J1778" i="1"/>
  <c r="I1778" i="1"/>
  <c r="H1778" i="1"/>
  <c r="G1778" i="1"/>
  <c r="F1778" i="1"/>
  <c r="K1777" i="1"/>
  <c r="J1777" i="1"/>
  <c r="I1777" i="1"/>
  <c r="H1777" i="1"/>
  <c r="G1777" i="1"/>
  <c r="F1777" i="1"/>
  <c r="K1776" i="1"/>
  <c r="J1776" i="1"/>
  <c r="I1776" i="1"/>
  <c r="H1776" i="1"/>
  <c r="G1776" i="1"/>
  <c r="F1776" i="1"/>
  <c r="K1775" i="1"/>
  <c r="J1775" i="1"/>
  <c r="I1775" i="1"/>
  <c r="H1775" i="1"/>
  <c r="G1775" i="1"/>
  <c r="F1775" i="1"/>
  <c r="K1774" i="1"/>
  <c r="J1774" i="1"/>
  <c r="I1774" i="1"/>
  <c r="H1774" i="1"/>
  <c r="G1774" i="1"/>
  <c r="F1774" i="1"/>
  <c r="K1773" i="1"/>
  <c r="J1773" i="1"/>
  <c r="I1773" i="1"/>
  <c r="H1773" i="1"/>
  <c r="G1773" i="1"/>
  <c r="F1773" i="1"/>
  <c r="K1772" i="1"/>
  <c r="J1772" i="1"/>
  <c r="I1772" i="1"/>
  <c r="H1772" i="1"/>
  <c r="G1772" i="1"/>
  <c r="F1772" i="1"/>
  <c r="K1771" i="1"/>
  <c r="J1771" i="1"/>
  <c r="I1771" i="1"/>
  <c r="H1771" i="1"/>
  <c r="G1771" i="1"/>
  <c r="F1771" i="1"/>
  <c r="K1770" i="1"/>
  <c r="J1770" i="1"/>
  <c r="I1770" i="1"/>
  <c r="H1770" i="1"/>
  <c r="G1770" i="1"/>
  <c r="F1770" i="1"/>
  <c r="K1769" i="1"/>
  <c r="J1769" i="1"/>
  <c r="I1769" i="1"/>
  <c r="H1769" i="1"/>
  <c r="G1769" i="1"/>
  <c r="F1769" i="1"/>
  <c r="K1768" i="1"/>
  <c r="J1768" i="1"/>
  <c r="I1768" i="1"/>
  <c r="H1768" i="1"/>
  <c r="G1768" i="1"/>
  <c r="F1768" i="1"/>
  <c r="K1767" i="1"/>
  <c r="J1767" i="1"/>
  <c r="I1767" i="1"/>
  <c r="H1767" i="1"/>
  <c r="G1767" i="1"/>
  <c r="F1767" i="1"/>
  <c r="K1766" i="1"/>
  <c r="J1766" i="1"/>
  <c r="I1766" i="1"/>
  <c r="H1766" i="1"/>
  <c r="G1766" i="1"/>
  <c r="F1766" i="1"/>
  <c r="K1764" i="1"/>
  <c r="J1764" i="1"/>
  <c r="I1764" i="1"/>
  <c r="H1764" i="1"/>
  <c r="G1764" i="1"/>
  <c r="F1764" i="1"/>
  <c r="K1763" i="1"/>
  <c r="J1763" i="1"/>
  <c r="I1763" i="1"/>
  <c r="H1763" i="1"/>
  <c r="G1763" i="1"/>
  <c r="F1763" i="1"/>
  <c r="K1762" i="1"/>
  <c r="J1762" i="1"/>
  <c r="I1762" i="1"/>
  <c r="H1762" i="1"/>
  <c r="G1762" i="1"/>
  <c r="F1762" i="1"/>
  <c r="K1760" i="1"/>
  <c r="J1760" i="1"/>
  <c r="I1760" i="1"/>
  <c r="H1760" i="1"/>
  <c r="G1760" i="1"/>
  <c r="F1760" i="1"/>
  <c r="K1759" i="1"/>
  <c r="J1759" i="1"/>
  <c r="I1759" i="1"/>
  <c r="H1759" i="1"/>
  <c r="G1759" i="1"/>
  <c r="F1759" i="1"/>
  <c r="K1758" i="1"/>
  <c r="J1758" i="1"/>
  <c r="I1758" i="1"/>
  <c r="H1758" i="1"/>
  <c r="G1758" i="1"/>
  <c r="F1758" i="1"/>
  <c r="K1756" i="1"/>
  <c r="J1756" i="1"/>
  <c r="I1756" i="1"/>
  <c r="H1756" i="1"/>
  <c r="G1756" i="1"/>
  <c r="F1756" i="1"/>
  <c r="F1688" i="1" a="1"/>
  <c r="F1688" i="1" s="1"/>
  <c r="I1688" i="1" a="1"/>
  <c r="I1688" i="1" s="1"/>
  <c r="K1688" i="1" a="1"/>
  <c r="K1688" i="1" s="1"/>
  <c r="J1688" i="1" a="1"/>
  <c r="J1688" i="1" s="1"/>
  <c r="G1688" i="1" a="1"/>
  <c r="G1688" i="1" s="1"/>
  <c r="H1688" i="1" a="1"/>
  <c r="H1688" i="1" s="1"/>
  <c r="K1700" i="1"/>
  <c r="J1700" i="1"/>
  <c r="K1699" i="1"/>
  <c r="J1699" i="1"/>
  <c r="K1698" i="1"/>
  <c r="J1698" i="1"/>
  <c r="K1696" i="1"/>
  <c r="J1696" i="1"/>
  <c r="I1696" i="1"/>
  <c r="H1696" i="1"/>
  <c r="G1696" i="1"/>
  <c r="F1696" i="1"/>
  <c r="K1695" i="1"/>
  <c r="J1695" i="1"/>
  <c r="I1695" i="1"/>
  <c r="H1695" i="1"/>
  <c r="G1695" i="1"/>
  <c r="F1695" i="1"/>
  <c r="K1694" i="1"/>
  <c r="J1694" i="1"/>
  <c r="I1694" i="1"/>
  <c r="H1694" i="1"/>
  <c r="G1694" i="1"/>
  <c r="F1694" i="1"/>
  <c r="K1693" i="1"/>
  <c r="J1693" i="1"/>
  <c r="I1693" i="1"/>
  <c r="H1693" i="1"/>
  <c r="G1693" i="1"/>
  <c r="F1693" i="1"/>
  <c r="K1692" i="1"/>
  <c r="J1692" i="1"/>
  <c r="I1692" i="1"/>
  <c r="H1692" i="1"/>
  <c r="G1692" i="1"/>
  <c r="F1692" i="1"/>
  <c r="K1691" i="1"/>
  <c r="J1691" i="1"/>
  <c r="I1691" i="1"/>
  <c r="H1691" i="1"/>
  <c r="G1691" i="1"/>
  <c r="F1691" i="1"/>
  <c r="K1690" i="1"/>
  <c r="J1690" i="1"/>
  <c r="I1690" i="1"/>
  <c r="H1690" i="1"/>
  <c r="G1690" i="1"/>
  <c r="F1690" i="1"/>
  <c r="K1689" i="1"/>
  <c r="J1689" i="1"/>
  <c r="I1689" i="1"/>
  <c r="H1689" i="1"/>
  <c r="G1689" i="1"/>
  <c r="F1689" i="1"/>
  <c r="K1686" i="1"/>
  <c r="J1686" i="1"/>
  <c r="I1686" i="1"/>
  <c r="H1686" i="1"/>
  <c r="G1686" i="1"/>
  <c r="F1686" i="1"/>
  <c r="K1685" i="1"/>
  <c r="J1685" i="1"/>
  <c r="I1685" i="1"/>
  <c r="H1685" i="1"/>
  <c r="G1685" i="1"/>
  <c r="F1685" i="1"/>
  <c r="K1684" i="1"/>
  <c r="J1684" i="1"/>
  <c r="I1684" i="1"/>
  <c r="H1684" i="1"/>
  <c r="G1684" i="1"/>
  <c r="F1684" i="1"/>
  <c r="K1149" i="1"/>
  <c r="J1149" i="1"/>
  <c r="I1149" i="1"/>
  <c r="H1149" i="1"/>
  <c r="G1149" i="1"/>
  <c r="F1149" i="1"/>
  <c r="G2011" i="1" a="1"/>
  <c r="G2011" i="1" s="1"/>
  <c r="G2012" i="1" s="1" a="1"/>
  <c r="G2012" i="1" s="1"/>
  <c r="K2010" i="1" a="1"/>
  <c r="K2010" i="1" s="1"/>
  <c r="I2015" i="1" a="1"/>
  <c r="I2015" i="1" s="1"/>
  <c r="H2016" i="1" a="1"/>
  <c r="H2016" i="1" s="1"/>
  <c r="K2016" i="1" a="1"/>
  <c r="K2016" i="1" s="1"/>
  <c r="G2013" i="1" a="1"/>
  <c r="G2013" i="1" s="1"/>
  <c r="K2011" i="1" a="1"/>
  <c r="K2011" i="1" s="1"/>
  <c r="K2012" i="1" s="1" a="1"/>
  <c r="K2012" i="1" s="1"/>
  <c r="F2010" i="1" a="1"/>
  <c r="F2010" i="1" s="1"/>
  <c r="F2013" i="1" a="1"/>
  <c r="F2013" i="1" s="1"/>
  <c r="F2014" i="1" s="1" a="1"/>
  <c r="F2014" i="1" s="1"/>
  <c r="J2016" i="1" a="1"/>
  <c r="J2016" i="1" s="1"/>
  <c r="H2011" i="1" a="1"/>
  <c r="H2011" i="1" s="1"/>
  <c r="I2010" i="1" a="1"/>
  <c r="I2010" i="1" s="1"/>
  <c r="J2013" i="1" a="1"/>
  <c r="J2013" i="1" s="1"/>
  <c r="H2013" i="1" a="1"/>
  <c r="H2013" i="1" s="1"/>
  <c r="H2014" i="1" s="1" a="1"/>
  <c r="H2014" i="1" s="1"/>
  <c r="I2016" i="1" a="1"/>
  <c r="I2016" i="1" s="1"/>
  <c r="F2016" i="1" a="1"/>
  <c r="F2016" i="1" s="1"/>
  <c r="F2015" i="1" a="1"/>
  <c r="F2015" i="1" s="1"/>
  <c r="J2010" i="1" a="1"/>
  <c r="J2010" i="1" s="1"/>
  <c r="J2011" i="1" a="1"/>
  <c r="J2011" i="1" s="1"/>
  <c r="J2012" i="1" s="1" a="1"/>
  <c r="J2012" i="1" s="1"/>
  <c r="J2015" i="1" a="1"/>
  <c r="J2015" i="1" s="1"/>
  <c r="G2014" i="1" a="1"/>
  <c r="G2014" i="1" s="1"/>
  <c r="I2013" i="1" a="1"/>
  <c r="I2013" i="1" s="1"/>
  <c r="I2014" i="1" s="1" a="1"/>
  <c r="I2014" i="1" s="1"/>
  <c r="K2015" i="1" a="1"/>
  <c r="K2015" i="1" s="1"/>
  <c r="G2015" i="1" a="1"/>
  <c r="G2015" i="1" s="1"/>
  <c r="K2013" i="1" a="1"/>
  <c r="K2013" i="1" s="1"/>
  <c r="K2014" i="1" s="1" a="1"/>
  <c r="K2014" i="1" s="1"/>
  <c r="H2010" i="1" a="1"/>
  <c r="H2010" i="1" s="1"/>
  <c r="I2011" i="1" a="1"/>
  <c r="I2011" i="1" s="1"/>
  <c r="I2012" i="1" s="1" a="1"/>
  <c r="I2012" i="1" s="1"/>
  <c r="G2016" i="1" a="1"/>
  <c r="G2016" i="1" s="1"/>
  <c r="J2014" i="1" a="1"/>
  <c r="J2014" i="1" s="1"/>
  <c r="H2015" i="1" a="1"/>
  <c r="H2015" i="1" s="1"/>
  <c r="H2012" i="1" a="1"/>
  <c r="H2012" i="1" s="1"/>
  <c r="F2011" i="1" a="1"/>
  <c r="F2011" i="1" s="1"/>
  <c r="F2012" i="1" s="1" a="1"/>
  <c r="F2012" i="1" s="1"/>
  <c r="G2010" i="1" a="1"/>
  <c r="G2010" i="1" s="1"/>
  <c r="G2008" i="1" a="1"/>
  <c r="G2008" i="1" s="1"/>
  <c r="G2009" i="1" s="1" a="1"/>
  <c r="G2009" i="1" s="1"/>
  <c r="F2000" i="1" a="1"/>
  <c r="F2000" i="1" s="1"/>
  <c r="J2006" i="1" a="1"/>
  <c r="J2006" i="1" s="1"/>
  <c r="J2003" i="1" a="1"/>
  <c r="J2003" i="1" s="1"/>
  <c r="J2004" i="1" s="1" a="1"/>
  <c r="J2004" i="1" s="1"/>
  <c r="G2001" i="1" a="1"/>
  <c r="G2001" i="1" s="1"/>
  <c r="G2002" i="1" s="1" a="1"/>
  <c r="G2002" i="1" s="1"/>
  <c r="G2003" i="1" a="1"/>
  <c r="G2003" i="1" s="1"/>
  <c r="G2004" i="1" s="1" a="1"/>
  <c r="G2004" i="1" s="1"/>
  <c r="J2001" i="1" a="1"/>
  <c r="J2001" i="1" s="1"/>
  <c r="H2000" i="1" a="1"/>
  <c r="H2000" i="1" s="1"/>
  <c r="I2005" i="1" a="1"/>
  <c r="I2005" i="1" s="1"/>
  <c r="I2000" i="1" a="1"/>
  <c r="I2000" i="1" s="1"/>
  <c r="K2008" i="1" a="1"/>
  <c r="K2008" i="1" s="1"/>
  <c r="K2009" i="1" s="1" a="1"/>
  <c r="K2009" i="1" s="1"/>
  <c r="H2006" i="1" a="1"/>
  <c r="H2006" i="1" s="1"/>
  <c r="H2005" i="1" a="1"/>
  <c r="H2005" i="1" s="1"/>
  <c r="G2000" i="1" a="1"/>
  <c r="G2000" i="1" s="1"/>
  <c r="G2005" i="1" a="1"/>
  <c r="G2005" i="1" s="1"/>
  <c r="F2001" i="1" a="1"/>
  <c r="F2001" i="1" s="1"/>
  <c r="J2002" i="1" a="1"/>
  <c r="J2002" i="1" s="1"/>
  <c r="J2008" i="1" a="1"/>
  <c r="J2008" i="1" s="1"/>
  <c r="J2009" i="1" s="1" a="1"/>
  <c r="J2009" i="1" s="1"/>
  <c r="K2006" i="1" a="1"/>
  <c r="K2006" i="1" s="1"/>
  <c r="K2003" i="1" a="1"/>
  <c r="K2003" i="1" s="1"/>
  <c r="K2001" i="1" a="1"/>
  <c r="K2001" i="1" s="1"/>
  <c r="F2008" i="1" a="1"/>
  <c r="F2008" i="1" s="1"/>
  <c r="F2009" i="1" s="1" a="1"/>
  <c r="F2009" i="1" s="1"/>
  <c r="K2000" i="1" a="1"/>
  <c r="K2000" i="1" s="1"/>
  <c r="F2005" i="1" a="1"/>
  <c r="F2005" i="1" s="1"/>
  <c r="J2005" i="1" a="1"/>
  <c r="J2005" i="1" s="1"/>
  <c r="I2008" i="1" a="1"/>
  <c r="I2008" i="1" s="1"/>
  <c r="I2009" i="1" s="1" a="1"/>
  <c r="I2009" i="1" s="1"/>
  <c r="H2008" i="1" a="1"/>
  <c r="H2008" i="1" s="1"/>
  <c r="H2009" i="1" s="1" a="1"/>
  <c r="H2009" i="1" s="1"/>
  <c r="G2006" i="1" a="1"/>
  <c r="G2006" i="1" s="1"/>
  <c r="F2002" i="1" a="1"/>
  <c r="F2002" i="1" s="1"/>
  <c r="K2005" i="1" a="1"/>
  <c r="K2005" i="1" s="1"/>
  <c r="I2006" i="1" a="1"/>
  <c r="I2006" i="1" s="1"/>
  <c r="F2006" i="1" a="1"/>
  <c r="F2006" i="1" s="1"/>
  <c r="K2004" i="1" a="1"/>
  <c r="K2004" i="1" s="1"/>
  <c r="I2003" i="1" a="1"/>
  <c r="I2003" i="1" s="1"/>
  <c r="I2004" i="1" s="1" a="1"/>
  <c r="I2004" i="1" s="1"/>
  <c r="H2003" i="1" a="1"/>
  <c r="H2003" i="1" s="1"/>
  <c r="H2004" i="1" s="1" a="1"/>
  <c r="H2004" i="1" s="1"/>
  <c r="F2003" i="1" a="1"/>
  <c r="F2003" i="1" s="1"/>
  <c r="F2004" i="1" s="1" a="1"/>
  <c r="F2004" i="1" s="1"/>
  <c r="J2000" i="1" a="1"/>
  <c r="J2000" i="1" s="1"/>
  <c r="K2002" i="1" a="1"/>
  <c r="K2002" i="1" s="1"/>
  <c r="I2001" i="1" a="1"/>
  <c r="I2001" i="1" s="1"/>
  <c r="I2002" i="1" s="1" a="1"/>
  <c r="I2002" i="1" s="1"/>
  <c r="K1998" i="1" a="1"/>
  <c r="K1998" i="1" s="1"/>
  <c r="K1999" i="1" s="1" a="1"/>
  <c r="K1999" i="1" s="1"/>
  <c r="H2001" i="1" a="1"/>
  <c r="H2001" i="1" s="1"/>
  <c r="H2002" i="1" s="1" a="1"/>
  <c r="H2002" i="1" s="1"/>
  <c r="H1996" i="1" a="1"/>
  <c r="H1996" i="1" s="1"/>
  <c r="H1993" i="1" a="1"/>
  <c r="H1993" i="1" s="1"/>
  <c r="K1987" i="1" a="1"/>
  <c r="K1987" i="1" s="1"/>
  <c r="H1989" i="1" a="1"/>
  <c r="H1989" i="1" s="1"/>
  <c r="H1995" i="1" a="1"/>
  <c r="H1995" i="1" s="1"/>
  <c r="I1993" i="1" a="1"/>
  <c r="I1993" i="1" s="1"/>
  <c r="J1989" i="1" a="1"/>
  <c r="J1989" i="1" s="1"/>
  <c r="G1995" i="1" a="1"/>
  <c r="G1995" i="1" s="1"/>
  <c r="K1988" i="1" a="1"/>
  <c r="K1988" i="1" s="1"/>
  <c r="H1992" i="1" a="1"/>
  <c r="H1992" i="1" s="1"/>
  <c r="F1993" i="1" a="1"/>
  <c r="F1993" i="1" s="1"/>
  <c r="K1994" i="1" a="1"/>
  <c r="K1994" i="1" s="1"/>
  <c r="J1994" i="1" a="1"/>
  <c r="J1994" i="1" s="1"/>
  <c r="I1994" i="1" a="1"/>
  <c r="I1994" i="1" s="1"/>
  <c r="J1993" i="1" a="1"/>
  <c r="J1993" i="1" s="1"/>
  <c r="G1994" i="1" a="1"/>
  <c r="G1994" i="1" s="1"/>
  <c r="F1994" i="1" a="1"/>
  <c r="F1994" i="1" s="1"/>
  <c r="K1991" i="1" a="1"/>
  <c r="K1991" i="1" s="1"/>
  <c r="K1993" i="1" a="1"/>
  <c r="K1993" i="1" s="1"/>
  <c r="F1992" i="1" a="1"/>
  <c r="F1992" i="1" s="1"/>
  <c r="I1991" i="1" a="1"/>
  <c r="I1991" i="1" s="1"/>
  <c r="F1991" i="1" a="1"/>
  <c r="F1991" i="1" s="1"/>
  <c r="H1990" i="1" a="1"/>
  <c r="H1990" i="1" s="1"/>
  <c r="J1987" i="1" a="1"/>
  <c r="J1987" i="1" s="1"/>
  <c r="G1988" i="1" a="1"/>
  <c r="G1988" i="1" s="1"/>
  <c r="F1988" i="1" a="1"/>
  <c r="F1988" i="1" s="1"/>
  <c r="K1989" i="1" a="1"/>
  <c r="K1989" i="1" s="1"/>
  <c r="F1990" i="1" a="1"/>
  <c r="F1990" i="1" s="1"/>
  <c r="J1988" i="1" a="1"/>
  <c r="J1988" i="1" s="1"/>
  <c r="K1990" i="1" a="1"/>
  <c r="K1990" i="1" s="1"/>
  <c r="I1989" i="1" a="1"/>
  <c r="I1989" i="1" s="1"/>
  <c r="I1995" i="1" a="1"/>
  <c r="I1995" i="1" s="1"/>
  <c r="G1990" i="1" a="1"/>
  <c r="G1990" i="1" s="1"/>
  <c r="I1988" i="1" a="1"/>
  <c r="I1988" i="1" s="1"/>
  <c r="I1998" i="1" a="1"/>
  <c r="I1998" i="1" s="1"/>
  <c r="I1999" i="1" s="1" a="1"/>
  <c r="I1999" i="1" s="1"/>
  <c r="H1998" i="1" a="1"/>
  <c r="H1998" i="1" s="1"/>
  <c r="H1999" i="1" s="1" a="1"/>
  <c r="H1999" i="1" s="1"/>
  <c r="G1998" i="1" a="1"/>
  <c r="G1998" i="1" s="1"/>
  <c r="G1999" i="1" s="1" a="1"/>
  <c r="G1999" i="1" s="1"/>
  <c r="G1996" i="1" a="1"/>
  <c r="G1996" i="1" s="1"/>
  <c r="G1992" i="1" a="1"/>
  <c r="G1992" i="1" s="1"/>
  <c r="G1993" i="1" a="1"/>
  <c r="G1993" i="1" s="1"/>
  <c r="J1990" i="1" a="1"/>
  <c r="J1990" i="1" s="1"/>
  <c r="G1991" i="1" a="1"/>
  <c r="G1991" i="1" s="1"/>
  <c r="K1996" i="1" a="1"/>
  <c r="K1996" i="1" s="1"/>
  <c r="I1990" i="1" a="1"/>
  <c r="I1990" i="1" s="1"/>
  <c r="F1996" i="1" a="1"/>
  <c r="F1996" i="1" s="1"/>
  <c r="H1988" i="1" a="1"/>
  <c r="H1988" i="1" s="1"/>
  <c r="K1992" i="1" a="1"/>
  <c r="K1992" i="1" s="1"/>
  <c r="J1995" i="1" a="1"/>
  <c r="J1995" i="1" s="1"/>
  <c r="J1992" i="1" a="1"/>
  <c r="J1992" i="1" s="1"/>
  <c r="J1991" i="1" a="1"/>
  <c r="J1991" i="1" s="1"/>
  <c r="F1995" i="1" a="1"/>
  <c r="F1995" i="1" s="1"/>
  <c r="F1989" i="1" a="1"/>
  <c r="F1989" i="1" s="1"/>
  <c r="J1998" i="1" a="1"/>
  <c r="J1998" i="1" s="1"/>
  <c r="J1999" i="1" s="1" a="1"/>
  <c r="J1999" i="1" s="1"/>
  <c r="H1991" i="1" a="1"/>
  <c r="H1991" i="1" s="1"/>
  <c r="F1998" i="1" a="1"/>
  <c r="F1998" i="1" s="1"/>
  <c r="F1999" i="1" s="1" a="1"/>
  <c r="F1999" i="1" s="1"/>
  <c r="J1996" i="1" a="1"/>
  <c r="J1996" i="1" s="1"/>
  <c r="K1995" i="1" a="1"/>
  <c r="K1995" i="1" s="1"/>
  <c r="I1992" i="1" a="1"/>
  <c r="I1992" i="1" s="1"/>
  <c r="G1989" i="1" a="1"/>
  <c r="G1989" i="1" s="1"/>
  <c r="I1996" i="1" a="1"/>
  <c r="I1996" i="1" s="1"/>
  <c r="H1994" i="1" a="1"/>
  <c r="H1994" i="1" s="1"/>
  <c r="I1984" i="1" a="1"/>
  <c r="I1984" i="1" s="1"/>
  <c r="J1982" i="1" a="1"/>
  <c r="J1982" i="1" s="1"/>
  <c r="K1980" i="1" a="1"/>
  <c r="K1980" i="1" s="1"/>
  <c r="I1978" i="1" a="1"/>
  <c r="I1978" i="1" s="1"/>
  <c r="G1984" i="1" a="1"/>
  <c r="G1984" i="1" s="1"/>
  <c r="I1985" i="1" a="1"/>
  <c r="I1985" i="1" s="1"/>
  <c r="K1978" i="1" a="1"/>
  <c r="K1978" i="1" s="1"/>
  <c r="F1987" i="1" a="1"/>
  <c r="F1987" i="1" s="1"/>
  <c r="J1986" i="1" a="1"/>
  <c r="J1986" i="1" s="1"/>
  <c r="J1985" i="1" a="1"/>
  <c r="J1985" i="1" s="1"/>
  <c r="I1982" i="1" a="1"/>
  <c r="I1982" i="1" s="1"/>
  <c r="I1986" i="1" a="1"/>
  <c r="I1986" i="1" s="1"/>
  <c r="G1982" i="1" a="1"/>
  <c r="G1982" i="1" s="1"/>
  <c r="I1979" i="1" a="1"/>
  <c r="I1979" i="1" s="1"/>
  <c r="K1977" i="1" a="1"/>
  <c r="K1977" i="1" s="1"/>
  <c r="I1977" i="1" a="1"/>
  <c r="I1977" i="1" s="1"/>
  <c r="H1986" i="1" a="1"/>
  <c r="H1986" i="1" s="1"/>
  <c r="H1984" i="1" a="1"/>
  <c r="H1984" i="1" s="1"/>
  <c r="K1982" i="1" a="1"/>
  <c r="K1982" i="1" s="1"/>
  <c r="F1982" i="1" a="1"/>
  <c r="F1982" i="1" s="1"/>
  <c r="H1979" i="1" a="1"/>
  <c r="H1979" i="1" s="1"/>
  <c r="H1982" i="1" a="1"/>
  <c r="H1982" i="1" s="1"/>
  <c r="G1980" i="1" a="1"/>
  <c r="G1980" i="1" s="1"/>
  <c r="J1977" i="1" a="1"/>
  <c r="J1977" i="1" s="1"/>
  <c r="G1979" i="1" a="1"/>
  <c r="G1979" i="1" s="1"/>
  <c r="J1979" i="1" a="1"/>
  <c r="J1979" i="1" s="1"/>
  <c r="G1986" i="1" a="1"/>
  <c r="G1986" i="1" s="1"/>
  <c r="F1984" i="1" a="1"/>
  <c r="F1984" i="1" s="1"/>
  <c r="I1980" i="1" a="1"/>
  <c r="I1980" i="1" s="1"/>
  <c r="J1978" i="1" a="1"/>
  <c r="J1978" i="1" s="1"/>
  <c r="F1978" i="1" a="1"/>
  <c r="F1978" i="1" s="1"/>
  <c r="G1977" i="1" a="1"/>
  <c r="G1977" i="1" s="1"/>
  <c r="K1985" i="1" a="1"/>
  <c r="K1985" i="1" s="1"/>
  <c r="H1985" i="1" a="1"/>
  <c r="H1985" i="1" s="1"/>
  <c r="I1981" i="1" a="1"/>
  <c r="I1981" i="1" s="1"/>
  <c r="G1981" i="1" a="1"/>
  <c r="G1981" i="1" s="1"/>
  <c r="G1985" i="1" a="1"/>
  <c r="G1985" i="1" s="1"/>
  <c r="G1983" i="1" a="1"/>
  <c r="G1983" i="1" s="1"/>
  <c r="K1983" i="1" a="1"/>
  <c r="K1983" i="1" s="1"/>
  <c r="J1984" i="1" a="1"/>
  <c r="J1984" i="1" s="1"/>
  <c r="I1983" i="1" a="1"/>
  <c r="I1983" i="1" s="1"/>
  <c r="J1983" i="1" a="1"/>
  <c r="J1983" i="1" s="1"/>
  <c r="J1981" i="1" a="1"/>
  <c r="J1981" i="1" s="1"/>
  <c r="J1980" i="1" a="1"/>
  <c r="J1980" i="1" s="1"/>
  <c r="F1980" i="1" a="1"/>
  <c r="F1980" i="1" s="1"/>
  <c r="K1981" i="1" a="1"/>
  <c r="K1981" i="1" s="1"/>
  <c r="H1977" i="1" a="1"/>
  <c r="H1977" i="1" s="1"/>
  <c r="H1983" i="1" a="1"/>
  <c r="H1983" i="1" s="1"/>
  <c r="F1981" i="1" a="1"/>
  <c r="F1981" i="1" s="1"/>
  <c r="I1987" i="1" a="1"/>
  <c r="I1987" i="1" s="1"/>
  <c r="K1986" i="1" a="1"/>
  <c r="K1986" i="1" s="1"/>
  <c r="F1983" i="1" a="1"/>
  <c r="F1983" i="1" s="1"/>
  <c r="H1980" i="1" a="1"/>
  <c r="H1980" i="1" s="1"/>
  <c r="G1978" i="1" a="1"/>
  <c r="G1978" i="1" s="1"/>
  <c r="F1986" i="1" a="1"/>
  <c r="F1986" i="1" s="1"/>
  <c r="F1985" i="1" a="1"/>
  <c r="F1985" i="1" s="1"/>
  <c r="G1987" i="1" a="1"/>
  <c r="G1987" i="1" s="1"/>
  <c r="K1979" i="1" a="1"/>
  <c r="K1979" i="1" s="1"/>
  <c r="K1984" i="1" a="1"/>
  <c r="K1984" i="1" s="1"/>
  <c r="F1977" i="1" a="1"/>
  <c r="F1977" i="1" s="1"/>
  <c r="F1979" i="1" a="1"/>
  <c r="F1979" i="1" s="1"/>
  <c r="H1978" i="1" a="1"/>
  <c r="H1978" i="1" s="1"/>
  <c r="H1981" i="1" a="1"/>
  <c r="H1981" i="1" s="1"/>
  <c r="H1987" i="1" a="1"/>
  <c r="H1987" i="1" s="1"/>
  <c r="I1969" i="1" a="1"/>
  <c r="I1969" i="1" s="1"/>
  <c r="H1967" i="1" a="1"/>
  <c r="H1967" i="1" s="1"/>
  <c r="G1968" i="1" a="1"/>
  <c r="G1968" i="1" s="1"/>
  <c r="J1974" i="1" a="1"/>
  <c r="J1974" i="1" s="1"/>
  <c r="K1972" i="1" a="1"/>
  <c r="K1972" i="1" s="1"/>
  <c r="G1972" i="1" a="1"/>
  <c r="G1972" i="1" s="1"/>
  <c r="H1971" i="1" a="1"/>
  <c r="H1971" i="1" s="1"/>
  <c r="H1970" i="1" a="1"/>
  <c r="H1970" i="1" s="1"/>
  <c r="G1969" i="1" a="1"/>
  <c r="G1969" i="1" s="1"/>
  <c r="G1967" i="1" a="1"/>
  <c r="G1967" i="1" s="1"/>
  <c r="J1967" i="1" a="1"/>
  <c r="J1967" i="1" s="1"/>
  <c r="I1968" i="1" a="1"/>
  <c r="I1968" i="1" s="1"/>
  <c r="K1967" i="1" a="1"/>
  <c r="K1967" i="1" s="1"/>
  <c r="H1972" i="1" a="1"/>
  <c r="H1972" i="1" s="1"/>
  <c r="K1969" i="1" a="1"/>
  <c r="K1969" i="1" s="1"/>
  <c r="I1972" i="1" a="1"/>
  <c r="I1972" i="1" s="1"/>
  <c r="I1966" i="1" a="1"/>
  <c r="I1966" i="1" s="1"/>
  <c r="I1967" i="1" a="1"/>
  <c r="I1967" i="1" s="1"/>
  <c r="K1968" i="1" a="1"/>
  <c r="K1968" i="1" s="1"/>
  <c r="F1967" i="1" a="1"/>
  <c r="F1967" i="1" s="1"/>
  <c r="H1969" i="1" a="1"/>
  <c r="H1969" i="1" s="1"/>
  <c r="F1975" i="1" a="1"/>
  <c r="F1975" i="1" s="1"/>
  <c r="J1966" i="1" a="1"/>
  <c r="J1966" i="1" s="1"/>
  <c r="K1966" i="1" a="1"/>
  <c r="K1966" i="1" s="1"/>
  <c r="F1972" i="1" a="1"/>
  <c r="F1972" i="1" s="1"/>
  <c r="I1971" i="1" a="1"/>
  <c r="I1971" i="1" s="1"/>
  <c r="H1968" i="1" a="1"/>
  <c r="H1968" i="1" s="1"/>
  <c r="F1970" i="1" a="1"/>
  <c r="F1970" i="1" s="1"/>
  <c r="J1969" i="1" a="1"/>
  <c r="J1969" i="1" s="1"/>
  <c r="F1969" i="1" a="1"/>
  <c r="F1969" i="1" s="1"/>
  <c r="J1968" i="1" a="1"/>
  <c r="J1968" i="1" s="1"/>
  <c r="J1972" i="1" a="1"/>
  <c r="J1972" i="1" s="1"/>
  <c r="I1970" i="1" a="1"/>
  <c r="I1970" i="1" s="1"/>
  <c r="G1971" i="1" a="1"/>
  <c r="G1971" i="1" s="1"/>
  <c r="J1971" i="1" a="1"/>
  <c r="J1971" i="1" s="1"/>
  <c r="J1970" i="1" a="1"/>
  <c r="J1970" i="1" s="1"/>
  <c r="G1970" i="1" a="1"/>
  <c r="G1970" i="1" s="1"/>
  <c r="F1968" i="1" a="1"/>
  <c r="F1968" i="1" s="1"/>
  <c r="H1974" i="1" a="1"/>
  <c r="H1974" i="1" s="1"/>
  <c r="I1974" i="1" a="1"/>
  <c r="I1974" i="1" s="1"/>
  <c r="K1976" i="1" a="1"/>
  <c r="K1976" i="1" s="1"/>
  <c r="J1976" i="1" a="1"/>
  <c r="J1976" i="1" s="1"/>
  <c r="F1971" i="1" a="1"/>
  <c r="F1971" i="1" s="1"/>
  <c r="I1976" i="1" a="1"/>
  <c r="I1976" i="1" s="1"/>
  <c r="H1976" i="1" a="1"/>
  <c r="H1976" i="1" s="1"/>
  <c r="G1976" i="1" a="1"/>
  <c r="G1976" i="1" s="1"/>
  <c r="I1975" i="1" a="1"/>
  <c r="I1975" i="1" s="1"/>
  <c r="G1974" i="1" a="1"/>
  <c r="G1974" i="1" s="1"/>
  <c r="K1971" i="1" a="1"/>
  <c r="K1971" i="1" s="1"/>
  <c r="K1974" i="1" a="1"/>
  <c r="K1974" i="1" s="1"/>
  <c r="F1974" i="1" a="1"/>
  <c r="F1974" i="1" s="1"/>
  <c r="G1975" i="1" a="1"/>
  <c r="G1975" i="1" s="1"/>
  <c r="F1976" i="1" a="1"/>
  <c r="F1976" i="1" s="1"/>
  <c r="K1975" i="1" a="1"/>
  <c r="K1975" i="1" s="1"/>
  <c r="J1975" i="1" a="1"/>
  <c r="J1975" i="1" s="1"/>
  <c r="H1975" i="1" a="1"/>
  <c r="H1975" i="1" s="1"/>
  <c r="K1970" i="1" a="1"/>
  <c r="K1970" i="1" s="1"/>
  <c r="G1965" i="1" a="1"/>
  <c r="G1965" i="1" s="1"/>
  <c r="K1964" i="1" a="1"/>
  <c r="K1964" i="1" s="1"/>
  <c r="I1964" i="1" a="1"/>
  <c r="I1964" i="1" s="1"/>
  <c r="G1964" i="1" a="1"/>
  <c r="G1964" i="1" s="1"/>
  <c r="J1960" i="1" a="1"/>
  <c r="J1960" i="1" s="1"/>
  <c r="G1959" i="1" a="1"/>
  <c r="G1959" i="1" s="1"/>
  <c r="F1958" i="1" a="1"/>
  <c r="F1958" i="1" s="1"/>
  <c r="F1965" i="1" a="1"/>
  <c r="F1965" i="1" s="1"/>
  <c r="J1963" i="1" a="1"/>
  <c r="J1963" i="1" s="1"/>
  <c r="J1964" i="1" a="1"/>
  <c r="J1964" i="1" s="1"/>
  <c r="H1964" i="1" a="1"/>
  <c r="H1964" i="1" s="1"/>
  <c r="F1960" i="1" a="1"/>
  <c r="F1960" i="1" s="1"/>
  <c r="I1958" i="1" a="1"/>
  <c r="I1958" i="1" s="1"/>
  <c r="K1955" i="1" a="1"/>
  <c r="K1955" i="1" s="1"/>
  <c r="H1959" i="1" a="1"/>
  <c r="H1959" i="1" s="1"/>
  <c r="K1956" i="1" a="1"/>
  <c r="K1956" i="1" s="1"/>
  <c r="H1962" i="1" a="1"/>
  <c r="H1962" i="1" s="1"/>
  <c r="I1959" i="1" a="1"/>
  <c r="I1959" i="1" s="1"/>
  <c r="F1956" i="1" a="1"/>
  <c r="F1956" i="1" s="1"/>
  <c r="F1963" i="1" a="1"/>
  <c r="F1963" i="1" s="1"/>
  <c r="H1958" i="1" a="1"/>
  <c r="H1958" i="1" s="1"/>
  <c r="F1962" i="1" a="1"/>
  <c r="F1962" i="1" s="1"/>
  <c r="K1957" i="1" a="1"/>
  <c r="K1957" i="1" s="1"/>
  <c r="J1961" i="1" a="1"/>
  <c r="J1961" i="1" s="1"/>
  <c r="I1961" i="1" a="1"/>
  <c r="I1961" i="1" s="1"/>
  <c r="I1957" i="1" a="1"/>
  <c r="I1957" i="1" s="1"/>
  <c r="G1958" i="1" a="1"/>
  <c r="G1958" i="1" s="1"/>
  <c r="I1962" i="1" a="1"/>
  <c r="I1962" i="1" s="1"/>
  <c r="I1960" i="1" a="1"/>
  <c r="I1960" i="1" s="1"/>
  <c r="F1959" i="1" a="1"/>
  <c r="F1959" i="1" s="1"/>
  <c r="J1957" i="1" a="1"/>
  <c r="J1957" i="1" s="1"/>
  <c r="I1965" i="1" a="1"/>
  <c r="I1965" i="1" s="1"/>
  <c r="F1961" i="1" a="1"/>
  <c r="F1961" i="1" s="1"/>
  <c r="H1960" i="1" a="1"/>
  <c r="H1960" i="1" s="1"/>
  <c r="I1963" i="1" a="1"/>
  <c r="I1963" i="1" s="1"/>
  <c r="G1963" i="1" a="1"/>
  <c r="G1963" i="1" s="1"/>
  <c r="G1961" i="1" a="1"/>
  <c r="G1961" i="1" s="1"/>
  <c r="F1957" i="1" a="1"/>
  <c r="F1957" i="1" s="1"/>
  <c r="I1956" i="1" a="1"/>
  <c r="I1956" i="1" s="1"/>
  <c r="H1963" i="1" a="1"/>
  <c r="H1963" i="1" s="1"/>
  <c r="G1957" i="1" a="1"/>
  <c r="G1957" i="1" s="1"/>
  <c r="H1966" i="1" a="1"/>
  <c r="H1966" i="1" s="1"/>
  <c r="J1958" i="1" a="1"/>
  <c r="J1958" i="1" s="1"/>
  <c r="G1966" i="1" a="1"/>
  <c r="G1966" i="1" s="1"/>
  <c r="F1966" i="1" a="1"/>
  <c r="F1966" i="1" s="1"/>
  <c r="H1965" i="1" a="1"/>
  <c r="H1965" i="1" s="1"/>
  <c r="K1961" i="1" a="1"/>
  <c r="K1961" i="1" s="1"/>
  <c r="G1960" i="1" a="1"/>
  <c r="G1960" i="1" s="1"/>
  <c r="K1965" i="1" a="1"/>
  <c r="K1965" i="1" s="1"/>
  <c r="J1965" i="1" a="1"/>
  <c r="J1965" i="1" s="1"/>
  <c r="F1964" i="1" a="1"/>
  <c r="F1964" i="1" s="1"/>
  <c r="G1962" i="1" a="1"/>
  <c r="G1962" i="1" s="1"/>
  <c r="J1962" i="1" a="1"/>
  <c r="J1962" i="1" s="1"/>
  <c r="K1962" i="1" a="1"/>
  <c r="K1962" i="1" s="1"/>
  <c r="H1961" i="1" a="1"/>
  <c r="H1961" i="1" s="1"/>
  <c r="K1958" i="1" a="1"/>
  <c r="K1958" i="1" s="1"/>
  <c r="K1960" i="1" a="1"/>
  <c r="K1960" i="1" s="1"/>
  <c r="K1959" i="1" a="1"/>
  <c r="K1959" i="1" s="1"/>
  <c r="J1956" i="1" a="1"/>
  <c r="J1956" i="1" s="1"/>
  <c r="H1956" i="1" a="1"/>
  <c r="H1956" i="1" s="1"/>
  <c r="K1963" i="1" a="1"/>
  <c r="K1963" i="1" s="1"/>
  <c r="J1959" i="1" a="1"/>
  <c r="J1959" i="1" s="1"/>
  <c r="H1957" i="1" a="1"/>
  <c r="H1957" i="1" s="1"/>
  <c r="G1956" i="1" a="1"/>
  <c r="G1956" i="1" s="1"/>
  <c r="H1953" i="1" a="1"/>
  <c r="H1953" i="1" s="1"/>
  <c r="J1952" i="1" a="1"/>
  <c r="J1952" i="1" s="1"/>
  <c r="G1945" i="1" a="1"/>
  <c r="G1945" i="1" s="1"/>
  <c r="F1945" i="1" a="1"/>
  <c r="F1945" i="1" s="1"/>
  <c r="F1953" i="1" a="1"/>
  <c r="F1953" i="1" s="1"/>
  <c r="I1952" i="1" a="1"/>
  <c r="I1952" i="1" s="1"/>
  <c r="F1946" i="1" a="1"/>
  <c r="F1946" i="1" s="1"/>
  <c r="H1952" i="1" a="1"/>
  <c r="H1952" i="1" s="1"/>
  <c r="G1952" i="1" a="1"/>
  <c r="G1952" i="1" s="1"/>
  <c r="G1951" i="1" a="1"/>
  <c r="G1951" i="1" s="1"/>
  <c r="K1951" i="1" a="1"/>
  <c r="K1951" i="1" s="1"/>
  <c r="I1948" i="1" a="1"/>
  <c r="I1948" i="1" s="1"/>
  <c r="I1950" i="1" a="1"/>
  <c r="I1950" i="1" s="1"/>
  <c r="I1947" i="1" a="1"/>
  <c r="I1947" i="1" s="1"/>
  <c r="I1946" i="1" a="1"/>
  <c r="I1946" i="1" s="1"/>
  <c r="K1945" i="1" a="1"/>
  <c r="K1945" i="1" s="1"/>
  <c r="H1951" i="1" a="1"/>
  <c r="H1951" i="1" s="1"/>
  <c r="K1950" i="1" a="1"/>
  <c r="K1950" i="1" s="1"/>
  <c r="J1950" i="1" a="1"/>
  <c r="J1950" i="1" s="1"/>
  <c r="J1944" i="1" a="1"/>
  <c r="J1944" i="1" s="1"/>
  <c r="G1950" i="1" a="1"/>
  <c r="G1950" i="1" s="1"/>
  <c r="G1947" i="1" a="1"/>
  <c r="G1947" i="1" s="1"/>
  <c r="G1946" i="1" a="1"/>
  <c r="G1946" i="1" s="1"/>
  <c r="K1947" i="1" a="1"/>
  <c r="K1947" i="1" s="1"/>
  <c r="H1947" i="1" a="1"/>
  <c r="H1947" i="1" s="1"/>
  <c r="K1946" i="1" a="1"/>
  <c r="K1946" i="1" s="1"/>
  <c r="H1946" i="1" a="1"/>
  <c r="H1946" i="1" s="1"/>
  <c r="F1950" i="1" a="1"/>
  <c r="F1950" i="1" s="1"/>
  <c r="I1945" i="1" a="1"/>
  <c r="I1945" i="1" s="1"/>
  <c r="I1951" i="1" a="1"/>
  <c r="I1951" i="1" s="1"/>
  <c r="J1955" i="1" a="1"/>
  <c r="J1955" i="1" s="1"/>
  <c r="I1955" i="1" a="1"/>
  <c r="I1955" i="1" s="1"/>
  <c r="F1955" i="1" a="1"/>
  <c r="F1955" i="1" s="1"/>
  <c r="J1954" i="1" a="1"/>
  <c r="J1954" i="1" s="1"/>
  <c r="G1948" i="1" a="1"/>
  <c r="G1948" i="1" s="1"/>
  <c r="J1945" i="1" a="1"/>
  <c r="J1945" i="1" s="1"/>
  <c r="K1944" i="1" a="1"/>
  <c r="K1944" i="1" s="1"/>
  <c r="G1953" i="1" a="1"/>
  <c r="G1953" i="1" s="1"/>
  <c r="K1954" i="1" a="1"/>
  <c r="K1954" i="1" s="1"/>
  <c r="J1953" i="1" a="1"/>
  <c r="J1953" i="1" s="1"/>
  <c r="H1945" i="1" a="1"/>
  <c r="H1945" i="1" s="1"/>
  <c r="K1952" i="1" a="1"/>
  <c r="K1952" i="1" s="1"/>
  <c r="K1948" i="1" a="1"/>
  <c r="K1948" i="1" s="1"/>
  <c r="H1955" i="1" a="1"/>
  <c r="H1955" i="1" s="1"/>
  <c r="G1955" i="1" a="1"/>
  <c r="G1955" i="1" s="1"/>
  <c r="I1954" i="1" a="1"/>
  <c r="I1954" i="1" s="1"/>
  <c r="H1954" i="1" a="1"/>
  <c r="H1954" i="1" s="1"/>
  <c r="J1947" i="1" a="1"/>
  <c r="J1947" i="1" s="1"/>
  <c r="J1946" i="1" a="1"/>
  <c r="J1946" i="1" s="1"/>
  <c r="F1951" i="1" a="1"/>
  <c r="F1951" i="1" s="1"/>
  <c r="J1951" i="1" a="1"/>
  <c r="J1951" i="1" s="1"/>
  <c r="G1954" i="1" a="1"/>
  <c r="G1954" i="1" s="1"/>
  <c r="K1953" i="1" a="1"/>
  <c r="K1953" i="1" s="1"/>
  <c r="J1948" i="1" a="1"/>
  <c r="J1948" i="1" s="1"/>
  <c r="F1954" i="1" a="1"/>
  <c r="F1954" i="1" s="1"/>
  <c r="I1953" i="1" a="1"/>
  <c r="I1953" i="1" s="1"/>
  <c r="F1952" i="1" a="1"/>
  <c r="F1952" i="1" s="1"/>
  <c r="F1948" i="1" a="1"/>
  <c r="F1948" i="1" s="1"/>
  <c r="F1947" i="1" a="1"/>
  <c r="F1947" i="1" s="1"/>
  <c r="H1948" i="1" a="1"/>
  <c r="H1948" i="1" s="1"/>
  <c r="H1950" i="1" a="1"/>
  <c r="H1950" i="1" s="1"/>
  <c r="J1939" i="1" a="1"/>
  <c r="J1939" i="1" s="1"/>
  <c r="G1939" i="1" a="1"/>
  <c r="G1939" i="1" s="1"/>
  <c r="H1935" i="1" a="1"/>
  <c r="H1935" i="1" s="1"/>
  <c r="G1935" i="1" a="1"/>
  <c r="G1935" i="1" s="1"/>
  <c r="H1937" i="1" a="1"/>
  <c r="H1937" i="1" s="1"/>
  <c r="J1937" i="1" a="1"/>
  <c r="J1937" i="1" s="1"/>
  <c r="F1935" i="1" a="1"/>
  <c r="F1935" i="1" s="1"/>
  <c r="I1939" i="1" a="1"/>
  <c r="I1939" i="1" s="1"/>
  <c r="H1934" i="1" a="1"/>
  <c r="H1934" i="1" s="1"/>
  <c r="J1940" i="1" a="1"/>
  <c r="J1940" i="1" s="1"/>
  <c r="I1937" i="1" a="1"/>
  <c r="I1937" i="1" s="1"/>
  <c r="K1939" i="1" a="1"/>
  <c r="K1939" i="1" s="1"/>
  <c r="H1939" i="1" a="1"/>
  <c r="H1939" i="1" s="1"/>
  <c r="K1937" i="1" a="1"/>
  <c r="K1937" i="1" s="1"/>
  <c r="I1944" i="1" a="1"/>
  <c r="I1944" i="1" s="1"/>
  <c r="H1944" i="1" a="1"/>
  <c r="H1944" i="1" s="1"/>
  <c r="K1943" i="1" a="1"/>
  <c r="K1943" i="1" s="1"/>
  <c r="G1944" i="1" a="1"/>
  <c r="G1944" i="1" s="1"/>
  <c r="I1940" i="1" a="1"/>
  <c r="I1940" i="1" s="1"/>
  <c r="K1942" i="1" a="1"/>
  <c r="K1942" i="1" s="1"/>
  <c r="I1934" i="1" a="1"/>
  <c r="I1934" i="1" s="1"/>
  <c r="J1942" i="1" a="1"/>
  <c r="J1942" i="1" s="1"/>
  <c r="I1942" i="1" a="1"/>
  <c r="I1942" i="1" s="1"/>
  <c r="H1942" i="1" a="1"/>
  <c r="H1942" i="1" s="1"/>
  <c r="G1942" i="1" a="1"/>
  <c r="G1942" i="1" s="1"/>
  <c r="K1936" i="1" a="1"/>
  <c r="K1936" i="1" s="1"/>
  <c r="K1941" i="1" a="1"/>
  <c r="K1941" i="1" s="1"/>
  <c r="I1935" i="1" a="1"/>
  <c r="I1935" i="1" s="1"/>
  <c r="J1938" i="1" a="1"/>
  <c r="J1938" i="1" s="1"/>
  <c r="H1936" i="1" a="1"/>
  <c r="H1936" i="1" s="1"/>
  <c r="I1936" i="1" a="1"/>
  <c r="I1936" i="1" s="1"/>
  <c r="F1937" i="1" a="1"/>
  <c r="F1937" i="1" s="1"/>
  <c r="F1938" i="1" a="1"/>
  <c r="F1938" i="1" s="1"/>
  <c r="G1940" i="1" a="1"/>
  <c r="G1940" i="1" s="1"/>
  <c r="F1941" i="1" a="1"/>
  <c r="F1941" i="1" s="1"/>
  <c r="F1939" i="1" a="1"/>
  <c r="F1939" i="1" s="1"/>
  <c r="H1943" i="1" a="1"/>
  <c r="H1943" i="1" s="1"/>
  <c r="F1943" i="1" a="1"/>
  <c r="F1943" i="1" s="1"/>
  <c r="K1938" i="1" a="1"/>
  <c r="K1938" i="1" s="1"/>
  <c r="F1944" i="1" a="1"/>
  <c r="F1944" i="1" s="1"/>
  <c r="J1943" i="1" a="1"/>
  <c r="J1943" i="1" s="1"/>
  <c r="I1943" i="1" a="1"/>
  <c r="I1943" i="1" s="1"/>
  <c r="H1938" i="1" a="1"/>
  <c r="H1938" i="1" s="1"/>
  <c r="I1938" i="1" a="1"/>
  <c r="I1938" i="1" s="1"/>
  <c r="G1943" i="1" a="1"/>
  <c r="G1943" i="1" s="1"/>
  <c r="G1937" i="1" a="1"/>
  <c r="G1937" i="1" s="1"/>
  <c r="F1934" i="1" a="1"/>
  <c r="F1934" i="1" s="1"/>
  <c r="G1936" i="1" a="1"/>
  <c r="G1936" i="1" s="1"/>
  <c r="F1942" i="1" a="1"/>
  <c r="F1942" i="1" s="1"/>
  <c r="H1940" i="1" a="1"/>
  <c r="H1940" i="1" s="1"/>
  <c r="G1938" i="1" a="1"/>
  <c r="G1938" i="1" s="1"/>
  <c r="J1936" i="1" a="1"/>
  <c r="J1936" i="1" s="1"/>
  <c r="J1941" i="1" a="1"/>
  <c r="J1941" i="1" s="1"/>
  <c r="I1941" i="1" a="1"/>
  <c r="I1941" i="1" s="1"/>
  <c r="H1941" i="1" a="1"/>
  <c r="H1941" i="1" s="1"/>
  <c r="G1941" i="1" a="1"/>
  <c r="G1941" i="1" s="1"/>
  <c r="K1940" i="1" a="1"/>
  <c r="K1940" i="1" s="1"/>
  <c r="F1936" i="1" a="1"/>
  <c r="F1936" i="1" s="1"/>
  <c r="J1935" i="1" a="1"/>
  <c r="J1935" i="1" s="1"/>
  <c r="K1935" i="1" a="1"/>
  <c r="K1935" i="1" s="1"/>
  <c r="G1934" i="1" a="1"/>
  <c r="G1934" i="1" s="1"/>
  <c r="K1934" i="1" a="1"/>
  <c r="K1934" i="1" s="1"/>
  <c r="J1934" i="1" a="1"/>
  <c r="J1934" i="1" s="1"/>
  <c r="F1940" i="1" a="1"/>
  <c r="F1940" i="1" s="1"/>
  <c r="H1931" i="1" a="1"/>
  <c r="H1931" i="1" s="1"/>
  <c r="I1931" i="1" a="1"/>
  <c r="I1931" i="1" s="1"/>
  <c r="H1930" i="1" a="1"/>
  <c r="H1930" i="1" s="1"/>
  <c r="G1929" i="1" a="1"/>
  <c r="G1929" i="1" s="1"/>
  <c r="K1932" i="1" a="1"/>
  <c r="K1932" i="1" s="1"/>
  <c r="H1928" i="1" a="1"/>
  <c r="H1928" i="1" s="1"/>
  <c r="G1932" i="1" a="1"/>
  <c r="G1932" i="1" s="1"/>
  <c r="J1925" i="1" a="1"/>
  <c r="J1925" i="1" s="1"/>
  <c r="G1931" i="1" a="1"/>
  <c r="G1931" i="1" s="1"/>
  <c r="I1932" i="1" a="1"/>
  <c r="I1932" i="1" s="1"/>
  <c r="H1932" i="1" a="1"/>
  <c r="H1932" i="1" s="1"/>
  <c r="K1931" i="1" a="1"/>
  <c r="K1931" i="1" s="1"/>
  <c r="I1923" i="1" a="1"/>
  <c r="I1923" i="1" s="1"/>
  <c r="J1931" i="1" a="1"/>
  <c r="J1931" i="1" s="1"/>
  <c r="F1931" i="1" a="1"/>
  <c r="F1931" i="1" s="1"/>
  <c r="H1925" i="1" a="1"/>
  <c r="H1925" i="1" s="1"/>
  <c r="K1926" i="1" a="1"/>
  <c r="K1926" i="1" s="1"/>
  <c r="K1930" i="1" a="1"/>
  <c r="K1930" i="1" s="1"/>
  <c r="J1930" i="1" a="1"/>
  <c r="J1930" i="1" s="1"/>
  <c r="K1929" i="1" a="1"/>
  <c r="K1929" i="1" s="1"/>
  <c r="I1924" i="1" a="1"/>
  <c r="I1924" i="1" s="1"/>
  <c r="H1926" i="1" a="1"/>
  <c r="H1926" i="1" s="1"/>
  <c r="G1928" i="1" a="1"/>
  <c r="G1928" i="1" s="1"/>
  <c r="G1930" i="1" a="1"/>
  <c r="G1930" i="1" s="1"/>
  <c r="I1929" i="1" a="1"/>
  <c r="I1929" i="1" s="1"/>
  <c r="J1926" i="1" a="1"/>
  <c r="J1926" i="1" s="1"/>
  <c r="G1924" i="1" a="1"/>
  <c r="G1924" i="1" s="1"/>
  <c r="J1929" i="1" a="1"/>
  <c r="J1929" i="1" s="1"/>
  <c r="H1924" i="1" a="1"/>
  <c r="H1924" i="1" s="1"/>
  <c r="H1927" i="1" a="1"/>
  <c r="H1927" i="1" s="1"/>
  <c r="F1925" i="1" a="1"/>
  <c r="F1925" i="1" s="1"/>
  <c r="F1930" i="1" a="1"/>
  <c r="F1930" i="1" s="1"/>
  <c r="I1930" i="1" a="1"/>
  <c r="I1930" i="1" s="1"/>
  <c r="K1925" i="1" a="1"/>
  <c r="K1925" i="1" s="1"/>
  <c r="H1929" i="1" a="1"/>
  <c r="H1929" i="1" s="1"/>
  <c r="J1927" i="1" a="1"/>
  <c r="J1927" i="1" s="1"/>
  <c r="I1925" i="1" a="1"/>
  <c r="I1925" i="1" s="1"/>
  <c r="J1928" i="1" a="1"/>
  <c r="J1928" i="1" s="1"/>
  <c r="G1925" i="1" a="1"/>
  <c r="G1925" i="1" s="1"/>
  <c r="F1929" i="1" a="1"/>
  <c r="F1929" i="1" s="1"/>
  <c r="F1926" i="1" a="1"/>
  <c r="F1926" i="1" s="1"/>
  <c r="K1928" i="1" a="1"/>
  <c r="K1928" i="1" s="1"/>
  <c r="F1924" i="1" a="1"/>
  <c r="F1924" i="1" s="1"/>
  <c r="H1923" i="1" a="1"/>
  <c r="H1923" i="1" s="1"/>
  <c r="K1933" i="1" a="1"/>
  <c r="K1933" i="1" s="1"/>
  <c r="G1926" i="1" a="1"/>
  <c r="G1926" i="1" s="1"/>
  <c r="J1933" i="1" a="1"/>
  <c r="J1933" i="1" s="1"/>
  <c r="J1932" i="1" a="1"/>
  <c r="J1932" i="1" s="1"/>
  <c r="F1928" i="1" a="1"/>
  <c r="F1928" i="1" s="1"/>
  <c r="I1927" i="1" a="1"/>
  <c r="I1927" i="1" s="1"/>
  <c r="I1928" i="1" a="1"/>
  <c r="I1928" i="1" s="1"/>
  <c r="K1923" i="1" a="1"/>
  <c r="K1923" i="1" s="1"/>
  <c r="J1923" i="1" a="1"/>
  <c r="J1923" i="1" s="1"/>
  <c r="H1933" i="1" a="1"/>
  <c r="H1933" i="1" s="1"/>
  <c r="F1932" i="1" a="1"/>
  <c r="F1932" i="1" s="1"/>
  <c r="I1933" i="1" a="1"/>
  <c r="I1933" i="1" s="1"/>
  <c r="K1927" i="1" a="1"/>
  <c r="K1927" i="1" s="1"/>
  <c r="K1924" i="1" a="1"/>
  <c r="K1924" i="1" s="1"/>
  <c r="G1933" i="1" a="1"/>
  <c r="G1933" i="1" s="1"/>
  <c r="F1933" i="1" a="1"/>
  <c r="F1933" i="1" s="1"/>
  <c r="G1927" i="1" a="1"/>
  <c r="G1927" i="1" s="1"/>
  <c r="F1927" i="1" a="1"/>
  <c r="F1927" i="1" s="1"/>
  <c r="I1926" i="1" a="1"/>
  <c r="I1926" i="1" s="1"/>
  <c r="J1924" i="1" a="1"/>
  <c r="J1924" i="1" s="1"/>
  <c r="J1916" i="1" a="1"/>
  <c r="J1916" i="1" s="1"/>
  <c r="H1914" i="1" a="1"/>
  <c r="H1914" i="1" s="1"/>
  <c r="F1914" i="1" a="1"/>
  <c r="F1914" i="1" s="1"/>
  <c r="I1916" i="1" a="1"/>
  <c r="I1916" i="1" s="1"/>
  <c r="H1916" i="1" a="1"/>
  <c r="H1916" i="1" s="1"/>
  <c r="F1916" i="1" a="1"/>
  <c r="F1916" i="1" s="1"/>
  <c r="I1915" i="1" a="1"/>
  <c r="I1915" i="1" s="1"/>
  <c r="K1913" i="1" a="1"/>
  <c r="K1913" i="1" s="1"/>
  <c r="G1917" i="1" a="1"/>
  <c r="G1917" i="1" s="1"/>
  <c r="J1922" i="1" a="1"/>
  <c r="J1922" i="1" s="1"/>
  <c r="G1922" i="1" a="1"/>
  <c r="G1922" i="1" s="1"/>
  <c r="K1917" i="1" a="1"/>
  <c r="K1917" i="1" s="1"/>
  <c r="I1920" i="1" a="1"/>
  <c r="I1920" i="1" s="1"/>
  <c r="F1921" i="1" a="1"/>
  <c r="F1921" i="1" s="1"/>
  <c r="J1921" i="1" a="1"/>
  <c r="J1921" i="1" s="1"/>
  <c r="G1915" i="1" a="1"/>
  <c r="G1915" i="1" s="1"/>
  <c r="H1920" i="1" a="1"/>
  <c r="H1920" i="1" s="1"/>
  <c r="F1922" i="1" a="1"/>
  <c r="F1922" i="1" s="1"/>
  <c r="F1920" i="1" a="1"/>
  <c r="F1920" i="1" s="1"/>
  <c r="K1919" i="1" a="1"/>
  <c r="K1919" i="1" s="1"/>
  <c r="G1919" i="1" a="1"/>
  <c r="G1919" i="1" s="1"/>
  <c r="F1918" i="1" a="1"/>
  <c r="F1918" i="1" s="1"/>
  <c r="I1917" i="1" a="1"/>
  <c r="I1917" i="1" s="1"/>
  <c r="I1914" i="1" a="1"/>
  <c r="I1914" i="1" s="1"/>
  <c r="F1917" i="1" a="1"/>
  <c r="F1917" i="1" s="1"/>
  <c r="K1912" i="1" a="1"/>
  <c r="K1912" i="1" s="1"/>
  <c r="I1921" i="1" a="1"/>
  <c r="I1921" i="1" s="1"/>
  <c r="G1921" i="1" a="1"/>
  <c r="G1921" i="1" s="1"/>
  <c r="F1915" i="1" a="1"/>
  <c r="F1915" i="1" s="1"/>
  <c r="J1913" i="1" a="1"/>
  <c r="J1913" i="1" s="1"/>
  <c r="G1916" i="1" a="1"/>
  <c r="G1916" i="1" s="1"/>
  <c r="F1919" i="1" a="1"/>
  <c r="F1919" i="1" s="1"/>
  <c r="H1917" i="1" a="1"/>
  <c r="H1917" i="1" s="1"/>
  <c r="J1915" i="1" a="1"/>
  <c r="J1915" i="1" s="1"/>
  <c r="F1913" i="1" a="1"/>
  <c r="F1913" i="1" s="1"/>
  <c r="K1921" i="1" a="1"/>
  <c r="K1921" i="1" s="1"/>
  <c r="H1915" i="1" a="1"/>
  <c r="H1915" i="1" s="1"/>
  <c r="H1921" i="1" a="1"/>
  <c r="H1921" i="1" s="1"/>
  <c r="J1918" i="1" a="1"/>
  <c r="J1918" i="1" s="1"/>
  <c r="H1919" i="1" a="1"/>
  <c r="H1919" i="1" s="1"/>
  <c r="G1920" i="1" a="1"/>
  <c r="G1920" i="1" s="1"/>
  <c r="I1918" i="1" a="1"/>
  <c r="I1918" i="1" s="1"/>
  <c r="K1916" i="1" a="1"/>
  <c r="K1916" i="1" s="1"/>
  <c r="J1914" i="1" a="1"/>
  <c r="J1914" i="1" s="1"/>
  <c r="G1913" i="1" a="1"/>
  <c r="G1913" i="1" s="1"/>
  <c r="H1913" i="1" a="1"/>
  <c r="H1913" i="1" s="1"/>
  <c r="J1912" i="1" a="1"/>
  <c r="J1912" i="1" s="1"/>
  <c r="K1914" i="1" a="1"/>
  <c r="K1914" i="1" s="1"/>
  <c r="G1923" i="1" a="1"/>
  <c r="G1923" i="1" s="1"/>
  <c r="F1923" i="1" a="1"/>
  <c r="F1923" i="1" s="1"/>
  <c r="K1915" i="1" a="1"/>
  <c r="K1915" i="1" s="1"/>
  <c r="K1922" i="1" a="1"/>
  <c r="K1922" i="1" s="1"/>
  <c r="I1913" i="1" a="1"/>
  <c r="I1913" i="1" s="1"/>
  <c r="H1918" i="1" a="1"/>
  <c r="H1918" i="1" s="1"/>
  <c r="I1922" i="1" a="1"/>
  <c r="I1922" i="1" s="1"/>
  <c r="G1914" i="1" a="1"/>
  <c r="G1914" i="1" s="1"/>
  <c r="H1922" i="1" a="1"/>
  <c r="H1922" i="1" s="1"/>
  <c r="K1920" i="1" a="1"/>
  <c r="K1920" i="1" s="1"/>
  <c r="J1920" i="1" a="1"/>
  <c r="J1920" i="1" s="1"/>
  <c r="J1919" i="1" a="1"/>
  <c r="J1919" i="1" s="1"/>
  <c r="K1918" i="1" a="1"/>
  <c r="K1918" i="1" s="1"/>
  <c r="I1919" i="1" a="1"/>
  <c r="I1919" i="1" s="1"/>
  <c r="G1918" i="1" a="1"/>
  <c r="G1918" i="1" s="1"/>
  <c r="J1917" i="1" a="1"/>
  <c r="J1917" i="1" s="1"/>
  <c r="H1907" i="1" a="1"/>
  <c r="H1907" i="1" s="1"/>
  <c r="G1907" i="1" a="1"/>
  <c r="G1907" i="1" s="1"/>
  <c r="I1903" i="1" a="1"/>
  <c r="I1903" i="1" s="1"/>
  <c r="H1904" i="1" a="1"/>
  <c r="H1904" i="1" s="1"/>
  <c r="I1905" i="1" a="1"/>
  <c r="I1905" i="1" s="1"/>
  <c r="G1904" i="1" a="1"/>
  <c r="G1904" i="1" s="1"/>
  <c r="F1902" i="1" a="1"/>
  <c r="F1902" i="1" s="1"/>
  <c r="J1903" i="1" a="1"/>
  <c r="J1903" i="1" s="1"/>
  <c r="F1907" i="1" a="1"/>
  <c r="F1907" i="1" s="1"/>
  <c r="F1905" i="1" a="1"/>
  <c r="F1905" i="1" s="1"/>
  <c r="G1903" i="1" a="1"/>
  <c r="G1903" i="1" s="1"/>
  <c r="J1902" i="1" a="1"/>
  <c r="J1902" i="1" s="1"/>
  <c r="G1906" i="1" a="1"/>
  <c r="G1906" i="1" s="1"/>
  <c r="G1905" i="1" a="1"/>
  <c r="G1905" i="1" s="1"/>
  <c r="I1912" i="1" a="1"/>
  <c r="I1912" i="1" s="1"/>
  <c r="J1904" i="1" a="1"/>
  <c r="J1904" i="1" s="1"/>
  <c r="K1911" i="1" a="1"/>
  <c r="K1911" i="1" s="1"/>
  <c r="H1912" i="1" a="1"/>
  <c r="H1912" i="1" s="1"/>
  <c r="G1912" i="1" a="1"/>
  <c r="G1912" i="1" s="1"/>
  <c r="F1912" i="1" a="1"/>
  <c r="F1912" i="1" s="1"/>
  <c r="I1911" i="1" a="1"/>
  <c r="I1911" i="1" s="1"/>
  <c r="I1910" i="1" a="1"/>
  <c r="I1910" i="1" s="1"/>
  <c r="G1908" i="1" a="1"/>
  <c r="G1908" i="1" s="1"/>
  <c r="K1902" i="1" a="1"/>
  <c r="K1902" i="1" s="1"/>
  <c r="J1906" i="1" a="1"/>
  <c r="J1906" i="1" s="1"/>
  <c r="I1904" i="1" a="1"/>
  <c r="I1904" i="1" s="1"/>
  <c r="J1911" i="1" a="1"/>
  <c r="J1911" i="1" s="1"/>
  <c r="H1911" i="1" a="1"/>
  <c r="H1911" i="1" s="1"/>
  <c r="K1906" i="1" a="1"/>
  <c r="K1906" i="1" s="1"/>
  <c r="F1904" i="1" a="1"/>
  <c r="F1904" i="1" s="1"/>
  <c r="H1903" i="1" a="1"/>
  <c r="H1903" i="1" s="1"/>
  <c r="G1911" i="1" a="1"/>
  <c r="G1911" i="1" s="1"/>
  <c r="F1908" i="1" a="1"/>
  <c r="F1908" i="1" s="1"/>
  <c r="H1906" i="1" a="1"/>
  <c r="H1906" i="1" s="1"/>
  <c r="J1905" i="1" a="1"/>
  <c r="J1905" i="1" s="1"/>
  <c r="F1909" i="1" a="1"/>
  <c r="F1909" i="1" s="1"/>
  <c r="K1904" i="1" a="1"/>
  <c r="K1904" i="1" s="1"/>
  <c r="F1911" i="1" a="1"/>
  <c r="F1911" i="1" s="1"/>
  <c r="K1910" i="1" a="1"/>
  <c r="K1910" i="1" s="1"/>
  <c r="J1910" i="1" a="1"/>
  <c r="J1910" i="1" s="1"/>
  <c r="H1910" i="1" a="1"/>
  <c r="H1910" i="1" s="1"/>
  <c r="G1910" i="1" a="1"/>
  <c r="G1910" i="1" s="1"/>
  <c r="F1910" i="1" a="1"/>
  <c r="F1910" i="1" s="1"/>
  <c r="K1909" i="1" a="1"/>
  <c r="K1909" i="1" s="1"/>
  <c r="J1909" i="1" a="1"/>
  <c r="J1909" i="1" s="1"/>
  <c r="F1906" i="1" a="1"/>
  <c r="F1906" i="1" s="1"/>
  <c r="F1903" i="1" a="1"/>
  <c r="F1903" i="1" s="1"/>
  <c r="I1909" i="1" a="1"/>
  <c r="I1909" i="1" s="1"/>
  <c r="H1909" i="1" a="1"/>
  <c r="H1909" i="1" s="1"/>
  <c r="G1909" i="1" a="1"/>
  <c r="G1909" i="1" s="1"/>
  <c r="K1908" i="1" a="1"/>
  <c r="K1908" i="1" s="1"/>
  <c r="J1908" i="1" a="1"/>
  <c r="J1908" i="1" s="1"/>
  <c r="I1906" i="1" a="1"/>
  <c r="I1906" i="1" s="1"/>
  <c r="I1902" i="1" a="1"/>
  <c r="I1902" i="1" s="1"/>
  <c r="I1908" i="1" a="1"/>
  <c r="I1908" i="1" s="1"/>
  <c r="H1908" i="1" a="1"/>
  <c r="H1908" i="1" s="1"/>
  <c r="H1905" i="1" a="1"/>
  <c r="H1905" i="1" s="1"/>
  <c r="K1907" i="1" a="1"/>
  <c r="K1907" i="1" s="1"/>
  <c r="J1907" i="1" a="1"/>
  <c r="J1907" i="1" s="1"/>
  <c r="I1907" i="1" a="1"/>
  <c r="I1907" i="1" s="1"/>
  <c r="K1905" i="1" a="1"/>
  <c r="K1905" i="1" s="1"/>
  <c r="K1903" i="1" a="1"/>
  <c r="K1903" i="1" s="1"/>
  <c r="H1902" i="1" a="1"/>
  <c r="H1902" i="1" s="1"/>
  <c r="G1902" i="1" a="1"/>
  <c r="G1902" i="1" s="1"/>
  <c r="G1900" i="1" a="1"/>
  <c r="G1900" i="1" s="1"/>
  <c r="F1900" i="1" a="1"/>
  <c r="F1900" i="1" s="1"/>
  <c r="F1899" i="1" a="1"/>
  <c r="F1899" i="1" s="1"/>
  <c r="K1901" i="1" a="1"/>
  <c r="K1901" i="1" s="1"/>
  <c r="J1901" i="1" a="1"/>
  <c r="J1901" i="1" s="1"/>
  <c r="I1901" i="1" a="1"/>
  <c r="I1901" i="1" s="1"/>
  <c r="H1901" i="1" a="1"/>
  <c r="H1901" i="1" s="1"/>
  <c r="G1901" i="1" a="1"/>
  <c r="G1901" i="1" s="1"/>
  <c r="J1900" i="1" a="1"/>
  <c r="J1900" i="1" s="1"/>
  <c r="H1900" i="1" a="1"/>
  <c r="H1900" i="1" s="1"/>
  <c r="I1899" i="1" a="1"/>
  <c r="I1899" i="1" s="1"/>
  <c r="F1901" i="1" a="1"/>
  <c r="F1901" i="1" s="1"/>
  <c r="K1900" i="1" a="1"/>
  <c r="K1900" i="1" s="1"/>
  <c r="H1899" i="1" a="1"/>
  <c r="H1899" i="1" s="1"/>
  <c r="I1900" i="1" a="1"/>
  <c r="I1900" i="1" s="1"/>
  <c r="J1899" i="1" a="1"/>
  <c r="J1899" i="1" s="1"/>
  <c r="K1899" i="1" a="1"/>
  <c r="K1899" i="1" s="1"/>
  <c r="G1899" i="1" a="1"/>
  <c r="G1899" i="1" s="1"/>
  <c r="I1663" i="1" a="1"/>
  <c r="I1663" i="1" s="1"/>
  <c r="H1671" i="1" a="1"/>
  <c r="H1671" i="1" s="1"/>
  <c r="K1670" i="1" a="1"/>
  <c r="K1670" i="1" s="1"/>
  <c r="G1663" i="1" a="1"/>
  <c r="G1663" i="1" s="1"/>
  <c r="F1670" i="1" a="1"/>
  <c r="F1670" i="1" s="1"/>
  <c r="F1669" i="1" a="1"/>
  <c r="F1669" i="1" s="1"/>
  <c r="K1665" i="1" a="1"/>
  <c r="K1665" i="1" s="1"/>
  <c r="J1666" i="1" a="1"/>
  <c r="J1666" i="1" s="1"/>
  <c r="K1671" i="1" a="1"/>
  <c r="K1671" i="1" s="1"/>
  <c r="J1671" i="1" a="1"/>
  <c r="J1671" i="1" s="1"/>
  <c r="I1667" i="1" a="1"/>
  <c r="I1667" i="1" s="1"/>
  <c r="J1663" i="1" a="1"/>
  <c r="J1663" i="1" s="1"/>
  <c r="H1664" i="1" a="1"/>
  <c r="H1664" i="1" s="1"/>
  <c r="G1664" i="1" a="1"/>
  <c r="G1664" i="1" s="1"/>
  <c r="I1671" i="1" a="1"/>
  <c r="I1671" i="1" s="1"/>
  <c r="J1670" i="1" a="1"/>
  <c r="J1670" i="1" s="1"/>
  <c r="J1669" i="1" a="1"/>
  <c r="J1669" i="1" s="1"/>
  <c r="K1666" i="1" a="1"/>
  <c r="K1666" i="1" s="1"/>
  <c r="H1668" i="1" a="1"/>
  <c r="H1668" i="1" s="1"/>
  <c r="I1668" i="1" a="1"/>
  <c r="I1668" i="1" s="1"/>
  <c r="H1667" i="1" a="1"/>
  <c r="H1667" i="1" s="1"/>
  <c r="K1662" i="1" a="1"/>
  <c r="K1662" i="1" s="1"/>
  <c r="G1671" i="1" a="1"/>
  <c r="G1671" i="1" s="1"/>
  <c r="F1671" i="1" a="1"/>
  <c r="F1671" i="1" s="1"/>
  <c r="F1664" i="1" a="1"/>
  <c r="F1664" i="1" s="1"/>
  <c r="I1670" i="1" a="1"/>
  <c r="I1670" i="1" s="1"/>
  <c r="J1665" i="1" a="1"/>
  <c r="J1665" i="1" s="1"/>
  <c r="H1670" i="1" a="1"/>
  <c r="H1670" i="1" s="1"/>
  <c r="F1665" i="1" a="1"/>
  <c r="F1665" i="1" s="1"/>
  <c r="K1669" i="1" a="1"/>
  <c r="K1669" i="1" s="1"/>
  <c r="G1662" i="1" a="1"/>
  <c r="G1662" i="1" s="1"/>
  <c r="G1669" i="1" a="1"/>
  <c r="G1669" i="1" s="1"/>
  <c r="G1666" i="1" a="1"/>
  <c r="G1666" i="1" s="1"/>
  <c r="I1669" i="1" a="1"/>
  <c r="I1669" i="1" s="1"/>
  <c r="J1667" i="1" a="1"/>
  <c r="J1667" i="1" s="1"/>
  <c r="K1668" i="1" a="1"/>
  <c r="K1668" i="1" s="1"/>
  <c r="J1668" i="1" a="1"/>
  <c r="J1668" i="1" s="1"/>
  <c r="F1663" i="1" a="1"/>
  <c r="F1663" i="1" s="1"/>
  <c r="G1668" i="1" a="1"/>
  <c r="G1668" i="1" s="1"/>
  <c r="K1664" i="1" a="1"/>
  <c r="K1664" i="1" s="1"/>
  <c r="H1662" i="1" a="1"/>
  <c r="H1662" i="1" s="1"/>
  <c r="F1667" i="1" a="1"/>
  <c r="F1667" i="1" s="1"/>
  <c r="F1666" i="1" a="1"/>
  <c r="F1666" i="1" s="1"/>
  <c r="H1665" i="1" a="1"/>
  <c r="H1665" i="1" s="1"/>
  <c r="K1667" i="1" a="1"/>
  <c r="K1667" i="1" s="1"/>
  <c r="G1670" i="1" a="1"/>
  <c r="G1670" i="1" s="1"/>
  <c r="H1669" i="1" a="1"/>
  <c r="H1669" i="1" s="1"/>
  <c r="G1667" i="1" a="1"/>
  <c r="G1667" i="1" s="1"/>
  <c r="I1666" i="1" a="1"/>
  <c r="I1666" i="1" s="1"/>
  <c r="I1665" i="1" a="1"/>
  <c r="I1665" i="1" s="1"/>
  <c r="I1664" i="1" a="1"/>
  <c r="I1664" i="1" s="1"/>
  <c r="H1666" i="1" a="1"/>
  <c r="H1666" i="1" s="1"/>
  <c r="J1662" i="1" a="1"/>
  <c r="J1662" i="1" s="1"/>
  <c r="K1663" i="1" a="1"/>
  <c r="K1663" i="1" s="1"/>
  <c r="G1665" i="1" a="1"/>
  <c r="G1665" i="1" s="1"/>
  <c r="H1663" i="1" a="1"/>
  <c r="H1663" i="1" s="1"/>
  <c r="F1662" i="1" a="1"/>
  <c r="F1662" i="1" s="1"/>
  <c r="F1668" i="1" a="1"/>
  <c r="F1668" i="1" s="1"/>
  <c r="I1662" i="1" a="1"/>
  <c r="I1662" i="1" s="1"/>
  <c r="J1664" i="1" a="1"/>
  <c r="J1664" i="1" s="1"/>
  <c r="F1660" i="1" a="1"/>
  <c r="F1660" i="1" s="1"/>
  <c r="I1659" i="1" a="1"/>
  <c r="I1659" i="1" s="1"/>
  <c r="F1659" i="1" a="1"/>
  <c r="F1659" i="1" s="1"/>
  <c r="J1658" i="1" a="1"/>
  <c r="J1658" i="1" s="1"/>
  <c r="H1658" i="1" a="1"/>
  <c r="H1658" i="1" s="1"/>
  <c r="G1658" i="1" a="1"/>
  <c r="G1658" i="1" s="1"/>
  <c r="I1646" i="1" a="1"/>
  <c r="I1646" i="1" s="1"/>
  <c r="G1645" i="1" a="1"/>
  <c r="G1645" i="1" s="1"/>
  <c r="J1652" i="1" a="1"/>
  <c r="J1652" i="1" s="1"/>
  <c r="K1646" i="1" a="1"/>
  <c r="K1646" i="1" s="1"/>
  <c r="G1646" i="1" a="1"/>
  <c r="G1646" i="1" s="1"/>
  <c r="I1644" i="1" a="1"/>
  <c r="I1644" i="1" s="1"/>
  <c r="G1652" i="1" a="1"/>
  <c r="G1652" i="1" s="1"/>
  <c r="F1652" i="1" a="1"/>
  <c r="F1652" i="1" s="1"/>
  <c r="J1646" i="1" a="1"/>
  <c r="J1646" i="1" s="1"/>
  <c r="H1645" i="1" a="1"/>
  <c r="H1645" i="1" s="1"/>
  <c r="F1646" i="1" a="1"/>
  <c r="F1646" i="1" s="1"/>
  <c r="K1644" i="1" a="1"/>
  <c r="K1644" i="1" s="1"/>
  <c r="H1646" i="1" a="1"/>
  <c r="H1646" i="1" s="1"/>
  <c r="J1645" i="1" a="1"/>
  <c r="J1645" i="1" s="1"/>
  <c r="F1645" i="1" a="1"/>
  <c r="F1645" i="1" s="1"/>
  <c r="H1644" i="1" a="1"/>
  <c r="H1644" i="1" s="1"/>
  <c r="J1644" i="1" a="1"/>
  <c r="J1644" i="1" s="1"/>
  <c r="J1659" i="1" a="1"/>
  <c r="J1659" i="1" s="1"/>
  <c r="G1660" i="1" a="1"/>
  <c r="G1660" i="1" s="1"/>
  <c r="K1658" i="1" a="1"/>
  <c r="K1658" i="1" s="1"/>
  <c r="K1659" i="1" a="1"/>
  <c r="K1659" i="1" s="1"/>
  <c r="I1652" i="1" a="1"/>
  <c r="I1652" i="1" s="1"/>
  <c r="G1659" i="1" a="1"/>
  <c r="G1659" i="1" s="1"/>
  <c r="K1660" i="1" a="1"/>
  <c r="K1660" i="1" s="1"/>
  <c r="F1658" i="1" a="1"/>
  <c r="F1658" i="1" s="1"/>
  <c r="I1660" i="1" a="1"/>
  <c r="I1660" i="1" s="1"/>
  <c r="I1645" i="1" a="1"/>
  <c r="I1645" i="1" s="1"/>
  <c r="I1658" i="1" a="1"/>
  <c r="I1658" i="1" s="1"/>
  <c r="H1652" i="1" a="1"/>
  <c r="H1652" i="1" s="1"/>
  <c r="H1659" i="1" a="1"/>
  <c r="H1659" i="1" s="1"/>
  <c r="F1644" i="1" a="1"/>
  <c r="F1644" i="1" s="1"/>
  <c r="G1644" i="1" a="1"/>
  <c r="G1644" i="1" s="1"/>
  <c r="K1645" i="1" a="1"/>
  <c r="K1645" i="1" s="1"/>
  <c r="J1660" i="1" a="1"/>
  <c r="J1660" i="1" s="1"/>
  <c r="H1660" i="1" a="1"/>
  <c r="H1660" i="1" s="1"/>
  <c r="K1652" i="1" a="1"/>
  <c r="K1652" i="1" s="1"/>
  <c r="K1627" i="1" a="1"/>
  <c r="K1627" i="1" s="1"/>
  <c r="H1623" i="1" a="1"/>
  <c r="H1623" i="1" s="1"/>
  <c r="I1641" i="1" a="1"/>
  <c r="I1641" i="1" s="1"/>
  <c r="F1627" i="1" a="1"/>
  <c r="F1627" i="1" s="1"/>
  <c r="G1626" i="1" a="1"/>
  <c r="G1626" i="1" s="1"/>
  <c r="I1625" i="1" a="1"/>
  <c r="I1625" i="1" s="1"/>
  <c r="K1622" i="1" a="1"/>
  <c r="K1622" i="1" s="1"/>
  <c r="H1640" i="1" a="1"/>
  <c r="H1640" i="1" s="1"/>
  <c r="K1624" i="1" a="1"/>
  <c r="K1624" i="1" s="1"/>
  <c r="I1623" i="1" a="1"/>
  <c r="I1623" i="1" s="1"/>
  <c r="H1626" i="1" a="1"/>
  <c r="H1626" i="1" s="1"/>
  <c r="K1626" i="1" a="1"/>
  <c r="K1626" i="1" s="1"/>
  <c r="I1627" i="1" a="1"/>
  <c r="I1627" i="1" s="1"/>
  <c r="G1623" i="1" a="1"/>
  <c r="G1623" i="1" s="1"/>
  <c r="G1627" i="1" a="1"/>
  <c r="G1627" i="1" s="1"/>
  <c r="K1625" i="1" a="1"/>
  <c r="K1625" i="1" s="1"/>
  <c r="G1624" i="1" a="1"/>
  <c r="G1624" i="1" s="1"/>
  <c r="F1623" i="1" a="1"/>
  <c r="F1623" i="1" s="1"/>
  <c r="K1642" i="1" a="1"/>
  <c r="K1642" i="1" s="1"/>
  <c r="K1640" i="1" a="1"/>
  <c r="K1640" i="1" s="1"/>
  <c r="J1642" i="1" a="1"/>
  <c r="J1642" i="1" s="1"/>
  <c r="I1640" i="1" a="1"/>
  <c r="I1640" i="1" s="1"/>
  <c r="J1627" i="1" a="1"/>
  <c r="J1627" i="1" s="1"/>
  <c r="G1642" i="1" a="1"/>
  <c r="G1642" i="1" s="1"/>
  <c r="F1626" i="1" a="1"/>
  <c r="F1626" i="1" s="1"/>
  <c r="H1641" i="1" a="1"/>
  <c r="H1641" i="1" s="1"/>
  <c r="I1626" i="1" a="1"/>
  <c r="I1626" i="1" s="1"/>
  <c r="F1625" i="1" a="1"/>
  <c r="F1625" i="1" s="1"/>
  <c r="K1623" i="1" a="1"/>
  <c r="K1623" i="1" s="1"/>
  <c r="H1627" i="1" a="1"/>
  <c r="H1627" i="1" s="1"/>
  <c r="J1625" i="1" a="1"/>
  <c r="J1625" i="1" s="1"/>
  <c r="F1624" i="1" a="1"/>
  <c r="F1624" i="1" s="1"/>
  <c r="G1640" i="1" a="1"/>
  <c r="G1640" i="1" s="1"/>
  <c r="I1642" i="1" a="1"/>
  <c r="I1642" i="1" s="1"/>
  <c r="G1625" i="1" a="1"/>
  <c r="G1625" i="1" s="1"/>
  <c r="J1626" i="1" a="1"/>
  <c r="J1626" i="1" s="1"/>
  <c r="H1642" i="1" a="1"/>
  <c r="H1642" i="1" s="1"/>
  <c r="F1642" i="1" a="1"/>
  <c r="F1642" i="1" s="1"/>
  <c r="J1623" i="1" a="1"/>
  <c r="J1623" i="1" s="1"/>
  <c r="K1641" i="1" a="1"/>
  <c r="K1641" i="1" s="1"/>
  <c r="J1641" i="1" a="1"/>
  <c r="J1641" i="1" s="1"/>
  <c r="G1641" i="1" a="1"/>
  <c r="G1641" i="1" s="1"/>
  <c r="F1641" i="1" a="1"/>
  <c r="F1641" i="1" s="1"/>
  <c r="J1640" i="1" a="1"/>
  <c r="J1640" i="1" s="1"/>
  <c r="H1624" i="1" a="1"/>
  <c r="H1624" i="1" s="1"/>
  <c r="H1625" i="1" a="1"/>
  <c r="H1625" i="1" s="1"/>
  <c r="J1624" i="1" a="1"/>
  <c r="J1624" i="1" s="1"/>
  <c r="I1624" i="1" a="1"/>
  <c r="I1624" i="1" s="1"/>
  <c r="F1640" i="1" a="1"/>
  <c r="F1640" i="1" s="1"/>
  <c r="I1611" i="1" a="1"/>
  <c r="I1611" i="1" s="1"/>
  <c r="I1609" i="1" a="1"/>
  <c r="I1609" i="1" s="1"/>
  <c r="J1610" i="1" a="1"/>
  <c r="J1610" i="1" s="1"/>
  <c r="J1620" i="1" a="1"/>
  <c r="J1620" i="1" s="1"/>
  <c r="I1619" i="1" a="1"/>
  <c r="I1619" i="1" s="1"/>
  <c r="J1617" i="1" a="1"/>
  <c r="J1617" i="1" s="1"/>
  <c r="H1611" i="1" a="1"/>
  <c r="H1611" i="1" s="1"/>
  <c r="F1609" i="1" a="1"/>
  <c r="F1609" i="1" s="1"/>
  <c r="G1611" i="1" a="1"/>
  <c r="G1611" i="1" s="1"/>
  <c r="I1610" i="1" a="1"/>
  <c r="I1610" i="1" s="1"/>
  <c r="K1609" i="1" a="1"/>
  <c r="K1609" i="1" s="1"/>
  <c r="I1620" i="1" a="1"/>
  <c r="I1620" i="1" s="1"/>
  <c r="H1620" i="1" a="1"/>
  <c r="H1620" i="1" s="1"/>
  <c r="F1620" i="1" a="1"/>
  <c r="F1620" i="1" s="1"/>
  <c r="J1619" i="1" a="1"/>
  <c r="J1619" i="1" s="1"/>
  <c r="F1617" i="1" a="1"/>
  <c r="F1617" i="1" s="1"/>
  <c r="J1609" i="1" a="1"/>
  <c r="J1609" i="1" s="1"/>
  <c r="G1617" i="1" a="1"/>
  <c r="G1617" i="1" s="1"/>
  <c r="K1610" i="1" a="1"/>
  <c r="K1610" i="1" s="1"/>
  <c r="H1619" i="1" a="1"/>
  <c r="H1619" i="1" s="1"/>
  <c r="G1619" i="1" a="1"/>
  <c r="G1619" i="1" s="1"/>
  <c r="G1610" i="1" a="1"/>
  <c r="G1610" i="1" s="1"/>
  <c r="I1622" i="1" a="1"/>
  <c r="I1622" i="1" s="1"/>
  <c r="F1622" i="1" a="1"/>
  <c r="F1622" i="1" s="1"/>
  <c r="K1621" i="1" a="1"/>
  <c r="K1621" i="1" s="1"/>
  <c r="F1611" i="1" a="1"/>
  <c r="F1611" i="1" s="1"/>
  <c r="H1610" i="1" a="1"/>
  <c r="H1610" i="1" s="1"/>
  <c r="F1621" i="1" a="1"/>
  <c r="F1621" i="1" s="1"/>
  <c r="G1620" i="1" a="1"/>
  <c r="G1620" i="1" s="1"/>
  <c r="K1619" i="1" a="1"/>
  <c r="K1619" i="1" s="1"/>
  <c r="F1610" i="1" a="1"/>
  <c r="F1610" i="1" s="1"/>
  <c r="J1611" i="1" a="1"/>
  <c r="J1611" i="1" s="1"/>
  <c r="H1609" i="1" a="1"/>
  <c r="H1609" i="1" s="1"/>
  <c r="K1611" i="1" a="1"/>
  <c r="K1611" i="1" s="1"/>
  <c r="J1622" i="1" a="1"/>
  <c r="J1622" i="1" s="1"/>
  <c r="H1622" i="1" a="1"/>
  <c r="H1622" i="1" s="1"/>
  <c r="G1622" i="1" a="1"/>
  <c r="G1622" i="1" s="1"/>
  <c r="H1621" i="1" a="1"/>
  <c r="H1621" i="1" s="1"/>
  <c r="J1621" i="1" a="1"/>
  <c r="J1621" i="1" s="1"/>
  <c r="G1609" i="1" a="1"/>
  <c r="G1609" i="1" s="1"/>
  <c r="I1621" i="1" a="1"/>
  <c r="I1621" i="1" s="1"/>
  <c r="K1617" i="1" a="1"/>
  <c r="K1617" i="1" s="1"/>
  <c r="G1621" i="1" a="1"/>
  <c r="G1621" i="1" s="1"/>
  <c r="K1620" i="1" a="1"/>
  <c r="K1620" i="1" s="1"/>
  <c r="H1617" i="1" a="1"/>
  <c r="H1617" i="1" s="1"/>
  <c r="F1619" i="1" a="1"/>
  <c r="F1619" i="1" s="1"/>
  <c r="I1617" i="1" a="1"/>
  <c r="I1617" i="1" s="1"/>
  <c r="F1596" i="1" a="1"/>
  <c r="F1596" i="1" s="1"/>
  <c r="K1596" i="1" a="1"/>
  <c r="K1596" i="1" s="1"/>
  <c r="G1593" i="1" a="1"/>
  <c r="G1593" i="1" s="1"/>
  <c r="J1596" i="1" a="1"/>
  <c r="J1596" i="1" s="1"/>
  <c r="F1602" i="1" a="1"/>
  <c r="F1602" i="1" s="1"/>
  <c r="I1596" i="1" a="1"/>
  <c r="I1596" i="1" s="1"/>
  <c r="H1593" i="1" a="1"/>
  <c r="H1593" i="1" s="1"/>
  <c r="G1596" i="1" a="1"/>
  <c r="G1596" i="1" s="1"/>
  <c r="F1593" i="1" a="1"/>
  <c r="F1593" i="1" s="1"/>
  <c r="J1594" i="1" a="1"/>
  <c r="J1594" i="1" s="1"/>
  <c r="J1603" i="1" a="1"/>
  <c r="J1603" i="1" s="1"/>
  <c r="H1602" i="1" a="1"/>
  <c r="H1602" i="1" s="1"/>
  <c r="I1594" i="1" a="1"/>
  <c r="I1594" i="1" s="1"/>
  <c r="G1594" i="1" a="1"/>
  <c r="G1594" i="1" s="1"/>
  <c r="F1594" i="1" a="1"/>
  <c r="F1594" i="1" s="1"/>
  <c r="I1602" i="1" a="1"/>
  <c r="I1602" i="1" s="1"/>
  <c r="K1593" i="1" a="1"/>
  <c r="K1593" i="1" s="1"/>
  <c r="K1602" i="1" a="1"/>
  <c r="K1602" i="1" s="1"/>
  <c r="H1594" i="1" a="1"/>
  <c r="H1594" i="1" s="1"/>
  <c r="G1602" i="1" a="1"/>
  <c r="G1602" i="1" s="1"/>
  <c r="I1603" i="1" a="1"/>
  <c r="I1603" i="1" s="1"/>
  <c r="J1593" i="1" a="1"/>
  <c r="J1593" i="1" s="1"/>
  <c r="K1603" i="1" a="1"/>
  <c r="K1603" i="1" s="1"/>
  <c r="H1603" i="1" a="1"/>
  <c r="H1603" i="1" s="1"/>
  <c r="J1602" i="1" a="1"/>
  <c r="J1602" i="1" s="1"/>
  <c r="H1596" i="1" a="1"/>
  <c r="H1596" i="1" s="1"/>
  <c r="G1603" i="1" a="1"/>
  <c r="G1603" i="1" s="1"/>
  <c r="K1594" i="1" a="1"/>
  <c r="K1594" i="1" s="1"/>
  <c r="I1593" i="1" a="1"/>
  <c r="I1593" i="1" s="1"/>
  <c r="F1603" i="1" a="1"/>
  <c r="F1603" i="1" s="1"/>
  <c r="F1576" i="1" a="1"/>
  <c r="F1576" i="1" s="1"/>
  <c r="G1579" i="1" a="1"/>
  <c r="G1579" i="1" s="1"/>
  <c r="J1575" i="1" a="1"/>
  <c r="J1575" i="1" s="1"/>
  <c r="K1580" i="1" a="1"/>
  <c r="K1580" i="1" s="1"/>
  <c r="G1578" i="1" a="1"/>
  <c r="G1578" i="1" s="1"/>
  <c r="J1576" i="1" a="1"/>
  <c r="J1576" i="1" s="1"/>
  <c r="J1577" i="1" a="1"/>
  <c r="J1577" i="1" s="1"/>
  <c r="H1579" i="1" a="1"/>
  <c r="H1579" i="1" s="1"/>
  <c r="F1575" i="1" a="1"/>
  <c r="F1575" i="1" s="1"/>
  <c r="G1573" i="1" a="1"/>
  <c r="G1573" i="1" s="1"/>
  <c r="H1580" i="1" a="1"/>
  <c r="H1580" i="1" s="1"/>
  <c r="F1578" i="1" a="1"/>
  <c r="F1578" i="1" s="1"/>
  <c r="K1579" i="1" a="1"/>
  <c r="K1579" i="1" s="1"/>
  <c r="I1579" i="1" a="1"/>
  <c r="I1579" i="1" s="1"/>
  <c r="I1575" i="1" a="1"/>
  <c r="I1575" i="1" s="1"/>
  <c r="J1578" i="1" a="1"/>
  <c r="J1578" i="1" s="1"/>
  <c r="K1575" i="1" a="1"/>
  <c r="K1575" i="1" s="1"/>
  <c r="H1578" i="1" a="1"/>
  <c r="H1578" i="1" s="1"/>
  <c r="K1573" i="1" a="1"/>
  <c r="K1573" i="1" s="1"/>
  <c r="F1577" i="1" a="1"/>
  <c r="F1577" i="1" s="1"/>
  <c r="K1576" i="1" a="1"/>
  <c r="K1576" i="1" s="1"/>
  <c r="I1574" i="1" a="1"/>
  <c r="I1574" i="1" s="1"/>
  <c r="H1574" i="1" a="1"/>
  <c r="H1574" i="1" s="1"/>
  <c r="H1576" i="1" a="1"/>
  <c r="H1576" i="1" s="1"/>
  <c r="K1574" i="1" a="1"/>
  <c r="K1574" i="1" s="1"/>
  <c r="H1573" i="1" a="1"/>
  <c r="H1573" i="1" s="1"/>
  <c r="I1578" i="1" a="1"/>
  <c r="I1578" i="1" s="1"/>
  <c r="H1577" i="1" a="1"/>
  <c r="H1577" i="1" s="1"/>
  <c r="G1574" i="1" a="1"/>
  <c r="G1574" i="1" s="1"/>
  <c r="F1573" i="1" a="1"/>
  <c r="F1573" i="1" s="1"/>
  <c r="J1572" i="1" a="1"/>
  <c r="J1572" i="1" s="1"/>
  <c r="I1577" i="1" a="1"/>
  <c r="I1577" i="1" s="1"/>
  <c r="H1575" i="1" a="1"/>
  <c r="H1575" i="1" s="1"/>
  <c r="J1574" i="1" a="1"/>
  <c r="J1574" i="1" s="1"/>
  <c r="K1572" i="1" a="1"/>
  <c r="K1572" i="1" s="1"/>
  <c r="I1576" i="1" a="1"/>
  <c r="I1576" i="1" s="1"/>
  <c r="G1580" i="1" a="1"/>
  <c r="G1580" i="1" s="1"/>
  <c r="J1580" i="1" a="1"/>
  <c r="J1580" i="1" s="1"/>
  <c r="K1577" i="1" a="1"/>
  <c r="K1577" i="1" s="1"/>
  <c r="I1580" i="1" a="1"/>
  <c r="I1580" i="1" s="1"/>
  <c r="F1580" i="1" a="1"/>
  <c r="F1580" i="1" s="1"/>
  <c r="F1574" i="1" a="1"/>
  <c r="F1574" i="1" s="1"/>
  <c r="K1578" i="1" a="1"/>
  <c r="K1578" i="1" s="1"/>
  <c r="G1577" i="1" a="1"/>
  <c r="G1577" i="1" s="1"/>
  <c r="J1573" i="1" a="1"/>
  <c r="J1573" i="1" s="1"/>
  <c r="I1573" i="1" a="1"/>
  <c r="I1573" i="1" s="1"/>
  <c r="F1579" i="1" a="1"/>
  <c r="F1579" i="1" s="1"/>
  <c r="J1579" i="1" a="1"/>
  <c r="J1579" i="1" s="1"/>
  <c r="G1576" i="1" a="1"/>
  <c r="G1576" i="1" s="1"/>
  <c r="G1575" i="1" a="1"/>
  <c r="G1575" i="1" s="1"/>
  <c r="J1556" i="1" a="1"/>
  <c r="J1556" i="1" s="1"/>
  <c r="F1555" i="1" a="1"/>
  <c r="F1555" i="1" s="1"/>
  <c r="J1555" i="1" a="1"/>
  <c r="J1555" i="1" s="1"/>
  <c r="I1572" i="1" a="1"/>
  <c r="I1572" i="1" s="1"/>
  <c r="F1572" i="1" a="1"/>
  <c r="F1572" i="1" s="1"/>
  <c r="G1570" i="1" a="1"/>
  <c r="G1570" i="1" s="1"/>
  <c r="J1563" i="1" a="1"/>
  <c r="J1563" i="1" s="1"/>
  <c r="G1555" i="1" a="1"/>
  <c r="G1555" i="1" s="1"/>
  <c r="I1562" i="1" a="1"/>
  <c r="I1562" i="1" s="1"/>
  <c r="K1570" i="1" a="1"/>
  <c r="K1570" i="1" s="1"/>
  <c r="H1570" i="1" a="1"/>
  <c r="H1570" i="1" s="1"/>
  <c r="K1564" i="1" a="1"/>
  <c r="K1564" i="1" s="1"/>
  <c r="G1562" i="1" a="1"/>
  <c r="G1562" i="1" s="1"/>
  <c r="J1564" i="1" a="1"/>
  <c r="J1564" i="1" s="1"/>
  <c r="F1562" i="1" a="1"/>
  <c r="F1562" i="1" s="1"/>
  <c r="K1556" i="1" a="1"/>
  <c r="K1556" i="1" s="1"/>
  <c r="F1556" i="1" a="1"/>
  <c r="F1556" i="1" s="1"/>
  <c r="H1556" i="1" a="1"/>
  <c r="H1556" i="1" s="1"/>
  <c r="F1563" i="1" a="1"/>
  <c r="F1563" i="1" s="1"/>
  <c r="I1564" i="1" a="1"/>
  <c r="I1564" i="1" s="1"/>
  <c r="I1555" i="1" a="1"/>
  <c r="I1555" i="1" s="1"/>
  <c r="F1564" i="1" a="1"/>
  <c r="F1564" i="1" s="1"/>
  <c r="H1562" i="1" a="1"/>
  <c r="H1562" i="1" s="1"/>
  <c r="G1556" i="1" a="1"/>
  <c r="G1556" i="1" s="1"/>
  <c r="H1563" i="1" a="1"/>
  <c r="H1563" i="1" s="1"/>
  <c r="K1562" i="1" a="1"/>
  <c r="K1562" i="1" s="1"/>
  <c r="K1555" i="1" a="1"/>
  <c r="K1555" i="1" s="1"/>
  <c r="F1570" i="1" a="1"/>
  <c r="F1570" i="1" s="1"/>
  <c r="H1564" i="1" a="1"/>
  <c r="H1564" i="1" s="1"/>
  <c r="H1555" i="1" a="1"/>
  <c r="H1555" i="1" s="1"/>
  <c r="I1563" i="1" a="1"/>
  <c r="I1563" i="1" s="1"/>
  <c r="G1572" i="1" a="1"/>
  <c r="G1572" i="1" s="1"/>
  <c r="J1562" i="1" a="1"/>
  <c r="J1562" i="1" s="1"/>
  <c r="H1572" i="1" a="1"/>
  <c r="H1572" i="1" s="1"/>
  <c r="J1570" i="1" a="1"/>
  <c r="J1570" i="1" s="1"/>
  <c r="G1563" i="1" a="1"/>
  <c r="G1563" i="1" s="1"/>
  <c r="K1563" i="1" a="1"/>
  <c r="K1563" i="1" s="1"/>
  <c r="I1570" i="1" a="1"/>
  <c r="I1570" i="1" s="1"/>
  <c r="I1556" i="1" a="1"/>
  <c r="I1556" i="1" s="1"/>
  <c r="G1564" i="1" a="1"/>
  <c r="G1564" i="1" s="1"/>
  <c r="J1518" i="1" a="1"/>
  <c r="J1518" i="1" s="1"/>
  <c r="H1518" i="1" a="1"/>
  <c r="H1518" i="1" s="1"/>
  <c r="K1514" i="1" a="1"/>
  <c r="K1514" i="1" s="1"/>
  <c r="J1514" i="1" a="1"/>
  <c r="J1514" i="1" s="1"/>
  <c r="F1521" i="1" a="1"/>
  <c r="F1521" i="1" s="1"/>
  <c r="F1524" i="1" a="1"/>
  <c r="F1524" i="1" s="1"/>
  <c r="G1523" i="1" a="1"/>
  <c r="G1523" i="1" s="1"/>
  <c r="F1523" i="1" a="1"/>
  <c r="F1523" i="1" s="1"/>
  <c r="K1521" i="1" a="1"/>
  <c r="K1521" i="1" s="1"/>
  <c r="J1524" i="1" a="1"/>
  <c r="J1524" i="1" s="1"/>
  <c r="I1524" i="1" a="1"/>
  <c r="I1524" i="1" s="1"/>
  <c r="H1522" i="1" a="1"/>
  <c r="H1522" i="1" s="1"/>
  <c r="I1518" i="1" a="1"/>
  <c r="I1518" i="1" s="1"/>
  <c r="J1522" i="1" a="1"/>
  <c r="J1522" i="1" s="1"/>
  <c r="H1524" i="1" a="1"/>
  <c r="H1524" i="1" s="1"/>
  <c r="H1523" i="1" a="1"/>
  <c r="H1523" i="1" s="1"/>
  <c r="G1521" i="1" a="1"/>
  <c r="G1521" i="1" s="1"/>
  <c r="H1517" i="1" a="1"/>
  <c r="H1517" i="1" s="1"/>
  <c r="K1519" i="1" a="1"/>
  <c r="K1519" i="1" s="1"/>
  <c r="K1522" i="1" a="1"/>
  <c r="K1522" i="1" s="1"/>
  <c r="I1520" i="1" a="1"/>
  <c r="I1520" i="1" s="1"/>
  <c r="G1522" i="1" a="1"/>
  <c r="G1522" i="1" s="1"/>
  <c r="I1521" i="1" a="1"/>
  <c r="I1521" i="1" s="1"/>
  <c r="J1515" i="1" a="1"/>
  <c r="J1515" i="1" s="1"/>
  <c r="G1524" i="1" a="1"/>
  <c r="G1524" i="1" s="1"/>
  <c r="K1523" i="1" a="1"/>
  <c r="K1523" i="1" s="1"/>
  <c r="J1521" i="1" a="1"/>
  <c r="J1521" i="1" s="1"/>
  <c r="J1519" i="1" a="1"/>
  <c r="J1519" i="1" s="1"/>
  <c r="J1517" i="1" a="1"/>
  <c r="J1517" i="1" s="1"/>
  <c r="I1517" i="1" a="1"/>
  <c r="I1517" i="1" s="1"/>
  <c r="F1515" i="1" a="1"/>
  <c r="F1515" i="1" s="1"/>
  <c r="G1517" i="1" a="1"/>
  <c r="G1517" i="1" s="1"/>
  <c r="G1515" i="1" a="1"/>
  <c r="G1515" i="1" s="1"/>
  <c r="F1517" i="1" a="1"/>
  <c r="F1517" i="1" s="1"/>
  <c r="J1523" i="1" a="1"/>
  <c r="J1523" i="1" s="1"/>
  <c r="I1523" i="1" a="1"/>
  <c r="I1523" i="1" s="1"/>
  <c r="I1522" i="1" a="1"/>
  <c r="I1522" i="1" s="1"/>
  <c r="K1518" i="1" a="1"/>
  <c r="K1518" i="1" s="1"/>
  <c r="F1522" i="1" a="1"/>
  <c r="F1522" i="1" s="1"/>
  <c r="F1519" i="1" a="1"/>
  <c r="F1519" i="1" s="1"/>
  <c r="H1521" i="1" a="1"/>
  <c r="H1521" i="1" s="1"/>
  <c r="K1520" i="1" a="1"/>
  <c r="K1520" i="1" s="1"/>
  <c r="K1515" i="1" a="1"/>
  <c r="K1515" i="1" s="1"/>
  <c r="J1520" i="1" a="1"/>
  <c r="J1520" i="1" s="1"/>
  <c r="H1520" i="1" a="1"/>
  <c r="H1520" i="1" s="1"/>
  <c r="G1520" i="1" a="1"/>
  <c r="G1520" i="1" s="1"/>
  <c r="F1520" i="1" a="1"/>
  <c r="F1520" i="1" s="1"/>
  <c r="I1519" i="1" a="1"/>
  <c r="I1519" i="1" s="1"/>
  <c r="F1518" i="1" a="1"/>
  <c r="F1518" i="1" s="1"/>
  <c r="K1517" i="1" a="1"/>
  <c r="K1517" i="1" s="1"/>
  <c r="I1515" i="1" a="1"/>
  <c r="I1515" i="1" s="1"/>
  <c r="H1515" i="1" a="1"/>
  <c r="H1515" i="1"/>
  <c r="G1518" i="1" a="1"/>
  <c r="G1518" i="1" s="1"/>
  <c r="G1519" i="1" a="1"/>
  <c r="G1519" i="1"/>
  <c r="H1519" i="1" a="1"/>
  <c r="H1519" i="1" s="1"/>
  <c r="F1511" i="1" a="1"/>
  <c r="F1511" i="1" s="1"/>
  <c r="I1502" i="1" a="1"/>
  <c r="I1502" i="1" s="1"/>
  <c r="K1511" i="1" a="1"/>
  <c r="K1511" i="1"/>
  <c r="G1511" i="1" a="1"/>
  <c r="G1511" i="1" s="1"/>
  <c r="G1502" i="1" a="1"/>
  <c r="G1502" i="1" s="1"/>
  <c r="G1514" i="1" a="1"/>
  <c r="G1514" i="1" s="1"/>
  <c r="I1513" i="1" a="1"/>
  <c r="I1513" i="1" s="1"/>
  <c r="I1503" i="1" a="1"/>
  <c r="I1503" i="1" s="1"/>
  <c r="F1502" i="1" a="1"/>
  <c r="F1502" i="1" s="1"/>
  <c r="J1505" i="1" a="1"/>
  <c r="J1505" i="1"/>
  <c r="I1504" i="1" a="1"/>
  <c r="I1504" i="1" s="1"/>
  <c r="G1503" i="1" a="1"/>
  <c r="G1503" i="1"/>
  <c r="I1514" i="1" a="1"/>
  <c r="I1514" i="1"/>
  <c r="J1513" i="1" a="1"/>
  <c r="J1513" i="1" s="1"/>
  <c r="H1513" i="1" a="1"/>
  <c r="H1513" i="1" s="1"/>
  <c r="I1512" i="1" a="1"/>
  <c r="I1512" i="1"/>
  <c r="J1511" i="1" a="1"/>
  <c r="J1511" i="1" s="1"/>
  <c r="H1505" i="1" a="1"/>
  <c r="H1505" i="1"/>
  <c r="K1502" i="1" a="1"/>
  <c r="K1502" i="1" s="1"/>
  <c r="H1502" i="1" a="1"/>
  <c r="H1502" i="1"/>
  <c r="K1504" i="1" a="1"/>
  <c r="K1504" i="1" s="1"/>
  <c r="F1504" i="1" a="1"/>
  <c r="F1504" i="1" s="1"/>
  <c r="K1512" i="1" a="1"/>
  <c r="K1512" i="1" s="1"/>
  <c r="J1512" i="1" a="1"/>
  <c r="J1512" i="1" s="1"/>
  <c r="F1512" i="1" a="1"/>
  <c r="F1512" i="1" s="1"/>
  <c r="I1511" i="1" a="1"/>
  <c r="I1511" i="1" s="1"/>
  <c r="H1504" i="1" a="1"/>
  <c r="H1504" i="1" s="1"/>
  <c r="K1505" i="1" a="1"/>
  <c r="K1505" i="1" s="1"/>
  <c r="J1503" i="1" a="1"/>
  <c r="J1503" i="1" s="1"/>
  <c r="F1503" i="1" a="1"/>
  <c r="F1503" i="1" s="1"/>
  <c r="H1503" i="1" a="1"/>
  <c r="H1503" i="1"/>
  <c r="J1502" i="1" a="1"/>
  <c r="J1502" i="1" s="1"/>
  <c r="F1505" i="1" a="1"/>
  <c r="F1505" i="1"/>
  <c r="K1503" i="1" a="1"/>
  <c r="K1503" i="1" s="1"/>
  <c r="I1505" i="1" a="1"/>
  <c r="I1505" i="1"/>
  <c r="J1504" i="1" a="1"/>
  <c r="J1504" i="1" s="1"/>
  <c r="G1505" i="1" a="1"/>
  <c r="G1505" i="1"/>
  <c r="G1513" i="1" a="1"/>
  <c r="G1513" i="1" s="1"/>
  <c r="H1514" i="1" a="1"/>
  <c r="H1514" i="1"/>
  <c r="H1512" i="1" a="1"/>
  <c r="H1512" i="1" s="1"/>
  <c r="G1504" i="1" a="1"/>
  <c r="G1504" i="1"/>
  <c r="F1514" i="1" a="1"/>
  <c r="F1514" i="1" s="1"/>
  <c r="K1513" i="1" a="1"/>
  <c r="K1513" i="1" s="1"/>
  <c r="F1513" i="1" a="1"/>
  <c r="F1513" i="1" s="1"/>
  <c r="H1511" i="1" a="1"/>
  <c r="H1511" i="1"/>
  <c r="G1512" i="1" a="1"/>
  <c r="G1512" i="1" s="1"/>
  <c r="I1499" i="1" a="1"/>
  <c r="I1499" i="1" s="1"/>
  <c r="K1490" i="1" a="1"/>
  <c r="K1490" i="1" s="1"/>
  <c r="H1499" i="1" a="1"/>
  <c r="H1499" i="1" s="1"/>
  <c r="G1490" i="1" a="1"/>
  <c r="G1490" i="1" s="1"/>
  <c r="G1499" i="1" a="1"/>
  <c r="G1499" i="1" s="1"/>
  <c r="G1500" i="1" a="1"/>
  <c r="G1500" i="1"/>
  <c r="K1485" i="1" a="1"/>
  <c r="K1485" i="1" s="1"/>
  <c r="H1490" i="1" a="1"/>
  <c r="H1490" i="1" s="1"/>
  <c r="K1500" i="1" a="1"/>
  <c r="K1500" i="1" s="1"/>
  <c r="H1500" i="1" a="1"/>
  <c r="H1500" i="1"/>
  <c r="F1500" i="1" a="1"/>
  <c r="F1500" i="1" s="1"/>
  <c r="J1499" i="1" a="1"/>
  <c r="J1499" i="1"/>
  <c r="I1498" i="1" a="1"/>
  <c r="I1498" i="1" s="1"/>
  <c r="F1497" i="1" a="1"/>
  <c r="F1497" i="1"/>
  <c r="F1490" i="1" a="1"/>
  <c r="F1490" i="1" s="1"/>
  <c r="F1492" i="1" a="1"/>
  <c r="F1492" i="1"/>
  <c r="J1492" i="1" a="1"/>
  <c r="J1492" i="1" s="1"/>
  <c r="K1499" i="1" a="1"/>
  <c r="K1499" i="1" s="1"/>
  <c r="J1497" i="1" a="1"/>
  <c r="J1497" i="1"/>
  <c r="I1497" i="1" a="1"/>
  <c r="I1497" i="1"/>
  <c r="I1485" i="1" a="1"/>
  <c r="I1485" i="1" s="1"/>
  <c r="H1498" i="1" a="1"/>
  <c r="H1498" i="1" s="1"/>
  <c r="G1498" i="1" a="1"/>
  <c r="G1498" i="1" s="1"/>
  <c r="G1492" i="1" a="1"/>
  <c r="G1492" i="1" s="1"/>
  <c r="K1492" i="1" a="1"/>
  <c r="K1492" i="1" s="1"/>
  <c r="F1498" i="1" a="1"/>
  <c r="F1498" i="1" s="1"/>
  <c r="K1497" i="1" a="1"/>
  <c r="K1497" i="1"/>
  <c r="H1485" i="1" a="1"/>
  <c r="H1485" i="1" s="1"/>
  <c r="H1497" i="1" a="1"/>
  <c r="H1497" i="1" s="1"/>
  <c r="I1492" i="1" a="1"/>
  <c r="I1492" i="1" s="1"/>
  <c r="J1490" i="1" a="1"/>
  <c r="J1490" i="1"/>
  <c r="J1485" i="1" a="1"/>
  <c r="J1485" i="1" s="1"/>
  <c r="I1490" i="1" a="1"/>
  <c r="I1490" i="1"/>
  <c r="F1499" i="1" a="1"/>
  <c r="F1499" i="1" s="1"/>
  <c r="J1498" i="1" a="1"/>
  <c r="J1498" i="1"/>
  <c r="G1497" i="1" a="1"/>
  <c r="G1497" i="1" s="1"/>
  <c r="J1500" i="1" a="1"/>
  <c r="J1500" i="1"/>
  <c r="I1500" i="1" a="1"/>
  <c r="I1500" i="1" s="1"/>
  <c r="K1498" i="1" a="1"/>
  <c r="K1498" i="1" s="1"/>
  <c r="H1492" i="1" a="1"/>
  <c r="H1492" i="1"/>
  <c r="G1456" i="1" a="1"/>
  <c r="G1456" i="1"/>
  <c r="I1453" i="1" a="1"/>
  <c r="I1453" i="1" s="1"/>
  <c r="I1456" i="1" a="1"/>
  <c r="I1456" i="1" s="1"/>
  <c r="G1453" i="1" a="1"/>
  <c r="G1453" i="1" s="1"/>
  <c r="I1483" i="1" a="1"/>
  <c r="I1483" i="1" s="1"/>
  <c r="G1483" i="1" a="1"/>
  <c r="G1483" i="1" s="1"/>
  <c r="K1455" i="1" a="1"/>
  <c r="K1455" i="1" s="1"/>
  <c r="F1454" i="1" a="1"/>
  <c r="F1454" i="1" s="1"/>
  <c r="J1453" i="1" a="1"/>
  <c r="J1453" i="1" s="1"/>
  <c r="H1483" i="1" a="1"/>
  <c r="H1483" i="1" s="1"/>
  <c r="H1453" i="1" a="1"/>
  <c r="H1453" i="1" s="1"/>
  <c r="F1456" i="1" a="1"/>
  <c r="F1456" i="1"/>
  <c r="H1456" i="1" a="1"/>
  <c r="H1456" i="1" s="1"/>
  <c r="H1455" i="1" a="1"/>
  <c r="H1455" i="1"/>
  <c r="K1453" i="1" a="1"/>
  <c r="K1453" i="1" s="1"/>
  <c r="I1455" i="1" a="1"/>
  <c r="I1455" i="1"/>
  <c r="K1452" i="1" a="1"/>
  <c r="K1452" i="1" s="1"/>
  <c r="J1483" i="1" a="1"/>
  <c r="J1483" i="1" s="1"/>
  <c r="G1455" i="1" a="1"/>
  <c r="G1455" i="1"/>
  <c r="J1456" i="1" a="1"/>
  <c r="J1456" i="1" s="1"/>
  <c r="G1485" i="1" a="1"/>
  <c r="G1485" i="1"/>
  <c r="F1485" i="1" a="1"/>
  <c r="F1485" i="1"/>
  <c r="J1455" i="1" a="1"/>
  <c r="J1455" i="1" s="1"/>
  <c r="F1455" i="1" a="1"/>
  <c r="F1455" i="1" s="1"/>
  <c r="I1454" i="1" a="1"/>
  <c r="I1454" i="1" s="1"/>
  <c r="H1454" i="1" a="1"/>
  <c r="H1454" i="1" s="1"/>
  <c r="K1454" i="1" a="1"/>
  <c r="K1454" i="1" s="1"/>
  <c r="J1454" i="1" a="1"/>
  <c r="J1454" i="1" s="1"/>
  <c r="K1483" i="1" a="1"/>
  <c r="K1483" i="1"/>
  <c r="F1483" i="1" a="1"/>
  <c r="F1483" i="1" s="1"/>
  <c r="G1454" i="1" a="1"/>
  <c r="G1454" i="1" s="1"/>
  <c r="F1453" i="1" a="1"/>
  <c r="F1453" i="1" s="1"/>
  <c r="K1456" i="1" a="1"/>
  <c r="K1456" i="1"/>
  <c r="K1445" i="1" a="1"/>
  <c r="K1445" i="1" s="1"/>
  <c r="G1451" i="1" a="1"/>
  <c r="G1451" i="1"/>
  <c r="K1448" i="1" a="1"/>
  <c r="K1448" i="1" s="1"/>
  <c r="F1451" i="1" a="1"/>
  <c r="F1451" i="1"/>
  <c r="I1450" i="1" a="1"/>
  <c r="I1450" i="1" s="1"/>
  <c r="F1449" i="1" a="1"/>
  <c r="F1449" i="1" s="1"/>
  <c r="F1448" i="1" a="1"/>
  <c r="F1448" i="1"/>
  <c r="K1444" i="1" a="1"/>
  <c r="K1444" i="1" s="1"/>
  <c r="I1442" i="1" a="1"/>
  <c r="I1442" i="1"/>
  <c r="H1450" i="1" a="1"/>
  <c r="H1450" i="1"/>
  <c r="J1446" i="1" a="1"/>
  <c r="J1446" i="1" s="1"/>
  <c r="H1449" i="1" a="1"/>
  <c r="H1449" i="1" s="1"/>
  <c r="F1444" i="1" a="1"/>
  <c r="F1444" i="1" s="1"/>
  <c r="H1442" i="1" a="1"/>
  <c r="H1442" i="1" s="1"/>
  <c r="I1448" i="1" a="1"/>
  <c r="I1448" i="1" s="1"/>
  <c r="J1442" i="1" a="1"/>
  <c r="J1442" i="1" s="1"/>
  <c r="K1447" i="1" a="1"/>
  <c r="K1447" i="1"/>
  <c r="G1452" i="1" a="1"/>
  <c r="G1452" i="1" s="1"/>
  <c r="I1451" i="1" a="1"/>
  <c r="I1451" i="1" s="1"/>
  <c r="G1448" i="1" a="1"/>
  <c r="G1448" i="1" s="1"/>
  <c r="H1443" i="1" a="1"/>
  <c r="H1443" i="1" s="1"/>
  <c r="J1450" i="1" a="1"/>
  <c r="J1450" i="1" s="1"/>
  <c r="G1449" i="1" a="1"/>
  <c r="G1449" i="1" s="1"/>
  <c r="G1445" i="1" a="1"/>
  <c r="G1445" i="1" s="1"/>
  <c r="I1447" i="1" a="1"/>
  <c r="I1447" i="1" s="1"/>
  <c r="K1443" i="1" a="1"/>
  <c r="K1443" i="1" s="1"/>
  <c r="G1450" i="1" a="1"/>
  <c r="G1450" i="1" s="1"/>
  <c r="J1448" i="1" a="1"/>
  <c r="J1448" i="1" s="1"/>
  <c r="G1443" i="1" a="1"/>
  <c r="G1443" i="1" s="1"/>
  <c r="H1445" i="1" a="1"/>
  <c r="H1445" i="1" s="1"/>
  <c r="F1446" i="1" a="1"/>
  <c r="F1446" i="1" s="1"/>
  <c r="F1450" i="1" a="1"/>
  <c r="F1450" i="1" s="1"/>
  <c r="K1446" i="1" a="1"/>
  <c r="K1446" i="1" s="1"/>
  <c r="J1449" i="1" a="1"/>
  <c r="J1449" i="1" s="1"/>
  <c r="F1447" i="1" a="1"/>
  <c r="F1447" i="1" s="1"/>
  <c r="H1446" i="1" a="1"/>
  <c r="H1446" i="1" s="1"/>
  <c r="J1445" i="1" a="1"/>
  <c r="J1445" i="1" s="1"/>
  <c r="G1444" i="1" a="1"/>
  <c r="G1444" i="1" s="1"/>
  <c r="G1442" i="1" a="1"/>
  <c r="G1442" i="1" s="1"/>
  <c r="H1448" i="1" a="1"/>
  <c r="H1448" i="1" s="1"/>
  <c r="F1445" i="1" a="1"/>
  <c r="F1445" i="1" s="1"/>
  <c r="J1443" i="1" a="1"/>
  <c r="J1443" i="1" s="1"/>
  <c r="J1452" i="1" a="1"/>
  <c r="J1452" i="1" s="1"/>
  <c r="I1452" i="1" a="1"/>
  <c r="I1452" i="1" s="1"/>
  <c r="K1451" i="1" a="1"/>
  <c r="K1451" i="1" s="1"/>
  <c r="J1447" i="1" a="1"/>
  <c r="J1447" i="1" s="1"/>
  <c r="F1443" i="1" a="1"/>
  <c r="F1443" i="1" s="1"/>
  <c r="H1444" i="1" a="1"/>
  <c r="H1444" i="1" s="1"/>
  <c r="G1446" i="1" a="1"/>
  <c r="G1446" i="1" s="1"/>
  <c r="K1442" i="1" a="1"/>
  <c r="K1442" i="1" s="1"/>
  <c r="K1450" i="1" a="1"/>
  <c r="K1450" i="1" s="1"/>
  <c r="I1444" i="1" a="1"/>
  <c r="I1444" i="1" s="1"/>
  <c r="I1443" i="1" a="1"/>
  <c r="I1443" i="1" s="1"/>
  <c r="K1449" i="1" a="1"/>
  <c r="K1449" i="1" s="1"/>
  <c r="I1445" i="1" a="1"/>
  <c r="I1445" i="1" s="1"/>
  <c r="J1444" i="1" a="1"/>
  <c r="J1444" i="1" s="1"/>
  <c r="H1452" i="1" a="1"/>
  <c r="H1452" i="1" s="1"/>
  <c r="I1446" i="1" a="1"/>
  <c r="I1446" i="1" s="1"/>
  <c r="H1447" i="1" a="1"/>
  <c r="H1447" i="1" s="1"/>
  <c r="G1447" i="1" a="1"/>
  <c r="G1447" i="1" s="1"/>
  <c r="I1449" i="1" a="1"/>
  <c r="I1449" i="1" s="1"/>
  <c r="F1452" i="1" a="1"/>
  <c r="F1452" i="1" s="1"/>
  <c r="J1451" i="1" a="1"/>
  <c r="J1451" i="1" s="1"/>
  <c r="H1451" i="1" a="1"/>
  <c r="H1451" i="1" s="1"/>
  <c r="H1436" i="1" a="1"/>
  <c r="H1436" i="1" s="1"/>
  <c r="G1435" i="1" a="1"/>
  <c r="G1435" i="1" s="1"/>
  <c r="J1441" i="1" a="1"/>
  <c r="J1441" i="1" s="1"/>
  <c r="H1441" i="1" a="1"/>
  <c r="H1441" i="1" s="1"/>
  <c r="G1441" i="1" a="1"/>
  <c r="G1441" i="1" s="1"/>
  <c r="K1437" i="1" a="1"/>
  <c r="K1437" i="1" s="1"/>
  <c r="J1435" i="1" a="1"/>
  <c r="J1435" i="1" s="1"/>
  <c r="F1437" i="1" a="1"/>
  <c r="F1437" i="1" s="1"/>
  <c r="F1435" i="1" a="1"/>
  <c r="F1435" i="1" s="1"/>
  <c r="F1441" i="1" a="1"/>
  <c r="F1441" i="1" s="1"/>
  <c r="H1440" i="1" a="1"/>
  <c r="H1440" i="1" s="1"/>
  <c r="K1439" i="1" a="1"/>
  <c r="K1439" i="1" s="1"/>
  <c r="K1435" i="1" a="1"/>
  <c r="K1435" i="1" s="1"/>
  <c r="H1434" i="1" a="1"/>
  <c r="H1434" i="1" s="1"/>
  <c r="J1439" i="1" a="1"/>
  <c r="J1439" i="1" s="1"/>
  <c r="F1439" i="1" a="1"/>
  <c r="F1439" i="1" s="1"/>
  <c r="K1431" i="1" a="1"/>
  <c r="K1431" i="1" s="1"/>
  <c r="I1438" i="1" a="1"/>
  <c r="I1438" i="1" s="1"/>
  <c r="F1438" i="1" a="1"/>
  <c r="F1438" i="1" s="1"/>
  <c r="H1435" i="1" a="1"/>
  <c r="H1435" i="1" s="1"/>
  <c r="J1436" i="1" a="1"/>
  <c r="J1436" i="1" s="1"/>
  <c r="I1437" i="1" a="1"/>
  <c r="I1437" i="1" s="1"/>
  <c r="G1434" i="1" a="1"/>
  <c r="G1434" i="1" s="1"/>
  <c r="I1436" i="1" a="1"/>
  <c r="I1436" i="1" s="1"/>
  <c r="F1434" i="1" a="1"/>
  <c r="F1434" i="1" s="1"/>
  <c r="J1432" i="1" a="1"/>
  <c r="J1432" i="1" s="1"/>
  <c r="K1432" i="1" a="1"/>
  <c r="K1432" i="1" s="1"/>
  <c r="K1440" i="1" a="1"/>
  <c r="K1440" i="1" s="1"/>
  <c r="I1434" i="1" a="1"/>
  <c r="I1434" i="1" s="1"/>
  <c r="H1437" i="1" a="1"/>
  <c r="H1437" i="1" s="1"/>
  <c r="F1442" i="1" a="1"/>
  <c r="F1442" i="1" s="1"/>
  <c r="K1436" i="1" a="1"/>
  <c r="K1436" i="1" s="1"/>
  <c r="G1440" i="1" a="1"/>
  <c r="G1440" i="1" s="1"/>
  <c r="I1435" i="1" a="1"/>
  <c r="I1435" i="1" s="1"/>
  <c r="H1439" i="1" a="1"/>
  <c r="H1439" i="1" s="1"/>
  <c r="J1437" i="1" a="1"/>
  <c r="J1437" i="1" s="1"/>
  <c r="F1436" i="1" a="1"/>
  <c r="F1436" i="1" s="1"/>
  <c r="K1434" i="1" a="1"/>
  <c r="K1434" i="1" s="1"/>
  <c r="K1441" i="1" a="1"/>
  <c r="K1441" i="1" s="1"/>
  <c r="I1441" i="1" a="1"/>
  <c r="I1441" i="1" s="1"/>
  <c r="G1436" i="1" a="1"/>
  <c r="G1436" i="1" s="1"/>
  <c r="J1440" i="1" a="1"/>
  <c r="J1440" i="1" s="1"/>
  <c r="I1432" i="1" a="1"/>
  <c r="I1432" i="1" s="1"/>
  <c r="I1440" i="1" a="1"/>
  <c r="I1440" i="1" s="1"/>
  <c r="K1438" i="1" a="1"/>
  <c r="K1438" i="1" s="1"/>
  <c r="J1434" i="1" a="1"/>
  <c r="J1434" i="1" s="1"/>
  <c r="H1438" i="1" a="1"/>
  <c r="H1438" i="1" s="1"/>
  <c r="G1432" i="1" a="1"/>
  <c r="G1432" i="1" s="1"/>
  <c r="F1432" i="1" a="1"/>
  <c r="F1432" i="1" s="1"/>
  <c r="F1440" i="1" a="1"/>
  <c r="F1440" i="1" s="1"/>
  <c r="I1439" i="1" a="1"/>
  <c r="I1439" i="1" s="1"/>
  <c r="H1432" i="1" a="1"/>
  <c r="H1432" i="1" s="1"/>
  <c r="G1437" i="1" a="1"/>
  <c r="G1437" i="1" s="1"/>
  <c r="G1439" i="1" a="1"/>
  <c r="G1439" i="1" s="1"/>
  <c r="J1438" i="1" a="1"/>
  <c r="J1438" i="1" s="1"/>
  <c r="G1438" i="1" a="1"/>
  <c r="G1438" i="1" s="1"/>
  <c r="J1419" i="1" a="1"/>
  <c r="J1419" i="1" s="1"/>
  <c r="G1420" i="1" a="1"/>
  <c r="G1420" i="1" s="1"/>
  <c r="K1428" i="1" a="1"/>
  <c r="K1428" i="1" s="1"/>
  <c r="K1422" i="1" a="1"/>
  <c r="K1422" i="1" s="1"/>
  <c r="H1428" i="1" a="1"/>
  <c r="H1428" i="1" s="1"/>
  <c r="F1422" i="1" a="1"/>
  <c r="F1422" i="1" s="1"/>
  <c r="I1422" i="1" a="1"/>
  <c r="I1422" i="1" s="1"/>
  <c r="H1430" i="1" a="1"/>
  <c r="H1430" i="1" s="1"/>
  <c r="F1430" i="1" a="1"/>
  <c r="F1430" i="1" s="1"/>
  <c r="I1428" i="1" a="1"/>
  <c r="I1428" i="1" s="1"/>
  <c r="H1420" i="1" a="1"/>
  <c r="H1420" i="1" s="1"/>
  <c r="G1428" i="1" a="1"/>
  <c r="G1428" i="1" s="1"/>
  <c r="K1421" i="1" a="1"/>
  <c r="K1421" i="1" s="1"/>
  <c r="F1421" i="1" a="1"/>
  <c r="F1421" i="1" s="1"/>
  <c r="K1419" i="1" a="1"/>
  <c r="K1419" i="1" s="1"/>
  <c r="J1422" i="1" a="1"/>
  <c r="J1422" i="1" s="1"/>
  <c r="G1422" i="1" a="1"/>
  <c r="G1422" i="1" s="1"/>
  <c r="J1420" i="1" a="1"/>
  <c r="J1420" i="1" s="1"/>
  <c r="J1421" i="1" a="1"/>
  <c r="J1421" i="1" s="1"/>
  <c r="J1431" i="1" a="1"/>
  <c r="J1431" i="1" s="1"/>
  <c r="H1431" i="1" a="1"/>
  <c r="H1431" i="1" s="1"/>
  <c r="I1431" i="1" a="1"/>
  <c r="I1431" i="1" s="1"/>
  <c r="F1429" i="1" a="1"/>
  <c r="F1429" i="1" s="1"/>
  <c r="K1420" i="1" a="1"/>
  <c r="K1420" i="1" s="1"/>
  <c r="G1429" i="1" a="1"/>
  <c r="G1429" i="1" s="1"/>
  <c r="I1421" i="1" a="1"/>
  <c r="I1421" i="1" s="1"/>
  <c r="G1421" i="1" a="1"/>
  <c r="G1421" i="1" s="1"/>
  <c r="I1420" i="1" a="1"/>
  <c r="I1420" i="1" s="1"/>
  <c r="J1429" i="1" a="1"/>
  <c r="J1429" i="1" s="1"/>
  <c r="J1428" i="1" a="1"/>
  <c r="J1428" i="1" s="1"/>
  <c r="H1422" i="1" a="1"/>
  <c r="H1422" i="1" s="1"/>
  <c r="G1431" i="1" a="1"/>
  <c r="G1431" i="1" s="1"/>
  <c r="F1431" i="1" a="1"/>
  <c r="F1431" i="1" s="1"/>
  <c r="F1428" i="1" a="1"/>
  <c r="F1428" i="1" s="1"/>
  <c r="K1430" i="1" a="1"/>
  <c r="K1430" i="1" s="1"/>
  <c r="J1430" i="1" a="1"/>
  <c r="J1430" i="1" s="1"/>
  <c r="I1429" i="1" a="1"/>
  <c r="I1429" i="1" s="1"/>
  <c r="F1420" i="1" a="1"/>
  <c r="F1420" i="1" s="1"/>
  <c r="H1421" i="1" a="1"/>
  <c r="H1421" i="1" s="1"/>
  <c r="I1430" i="1" a="1"/>
  <c r="I1430" i="1" s="1"/>
  <c r="G1430" i="1" a="1"/>
  <c r="G1430" i="1" s="1"/>
  <c r="K1429" i="1" a="1"/>
  <c r="K1429" i="1" s="1"/>
  <c r="H1429" i="1" a="1"/>
  <c r="H1429" i="1" s="1"/>
  <c r="G1416" i="1" a="1"/>
  <c r="G1416" i="1" s="1"/>
  <c r="J1416" i="1" a="1"/>
  <c r="J1416" i="1" s="1"/>
  <c r="I1416" i="1" a="1"/>
  <c r="I1416" i="1" s="1"/>
  <c r="K1407" i="1" a="1"/>
  <c r="K1407" i="1" s="1"/>
  <c r="F1414" i="1" a="1"/>
  <c r="F1414" i="1" s="1"/>
  <c r="H1416" i="1" a="1"/>
  <c r="H1416" i="1" s="1"/>
  <c r="I1408" i="1" a="1"/>
  <c r="I1408" i="1" s="1"/>
  <c r="F1416" i="1" a="1"/>
  <c r="F1416" i="1" s="1"/>
  <c r="K1415" i="1" a="1"/>
  <c r="K1415" i="1" s="1"/>
  <c r="J1415" i="1" a="1"/>
  <c r="J1415" i="1" s="1"/>
  <c r="H1415" i="1" a="1"/>
  <c r="H1415" i="1" s="1"/>
  <c r="F1415" i="1" a="1"/>
  <c r="F1415" i="1" s="1"/>
  <c r="H1407" i="1" a="1"/>
  <c r="H1407" i="1" s="1"/>
  <c r="H1414" i="1" a="1"/>
  <c r="H1414" i="1" s="1"/>
  <c r="F1407" i="1" a="1"/>
  <c r="F1407" i="1" s="1"/>
  <c r="K1406" i="1" a="1"/>
  <c r="K1406" i="1" s="1"/>
  <c r="H1408" i="1" a="1"/>
  <c r="H1408" i="1" s="1"/>
  <c r="F1408" i="1" a="1"/>
  <c r="F1408" i="1" s="1"/>
  <c r="J1407" i="1" a="1"/>
  <c r="J1407" i="1" s="1"/>
  <c r="G1407" i="1" a="1"/>
  <c r="G1407" i="1" s="1"/>
  <c r="G1415" i="1" a="1"/>
  <c r="G1415" i="1" s="1"/>
  <c r="J1414" i="1" a="1"/>
  <c r="J1414" i="1" s="1"/>
  <c r="I1414" i="1" a="1"/>
  <c r="I1414" i="1" s="1"/>
  <c r="I1419" i="1" a="1"/>
  <c r="I1419" i="1" s="1"/>
  <c r="F1419" i="1" a="1"/>
  <c r="F1419" i="1" s="1"/>
  <c r="J1408" i="1" a="1"/>
  <c r="J1408" i="1" s="1"/>
  <c r="I1418" i="1" a="1"/>
  <c r="I1418" i="1" s="1"/>
  <c r="G1419" i="1" a="1"/>
  <c r="G1419" i="1" s="1"/>
  <c r="I1415" i="1" a="1"/>
  <c r="I1415" i="1" s="1"/>
  <c r="F1418" i="1" a="1"/>
  <c r="F1418" i="1" s="1"/>
  <c r="K1414" i="1" a="1"/>
  <c r="K1414" i="1" s="1"/>
  <c r="J1417" i="1" a="1"/>
  <c r="J1417" i="1" s="1"/>
  <c r="K1417" i="1" a="1"/>
  <c r="K1417" i="1" s="1"/>
  <c r="I1407" i="1" a="1"/>
  <c r="I1407" i="1" s="1"/>
  <c r="H1419" i="1" a="1"/>
  <c r="H1419" i="1" s="1"/>
  <c r="K1418" i="1" a="1"/>
  <c r="K1418" i="1" s="1"/>
  <c r="J1418" i="1" a="1"/>
  <c r="J1418" i="1" s="1"/>
  <c r="H1418" i="1" a="1"/>
  <c r="H1418" i="1" s="1"/>
  <c r="G1414" i="1" a="1"/>
  <c r="G1414" i="1" s="1"/>
  <c r="G1408" i="1" a="1"/>
  <c r="G1408" i="1" s="1"/>
  <c r="G1418" i="1" a="1"/>
  <c r="G1418" i="1" s="1"/>
  <c r="I1417" i="1" a="1"/>
  <c r="I1417" i="1" s="1"/>
  <c r="H1417" i="1" a="1"/>
  <c r="H1417" i="1" s="1"/>
  <c r="G1417" i="1" a="1"/>
  <c r="G1417" i="1" s="1"/>
  <c r="F1417" i="1" a="1"/>
  <c r="F1417" i="1" s="1"/>
  <c r="K1416" i="1" a="1"/>
  <c r="K1416" i="1" s="1"/>
  <c r="K1408" i="1" a="1"/>
  <c r="K1408" i="1" s="1"/>
  <c r="F1406" i="1" a="1"/>
  <c r="F1406" i="1" s="1"/>
  <c r="I1400" i="1" a="1"/>
  <c r="I1400" i="1" s="1"/>
  <c r="K1405" i="1" a="1"/>
  <c r="K1405" i="1" s="1"/>
  <c r="I1405" i="1" a="1"/>
  <c r="I1405" i="1" s="1"/>
  <c r="H1405" i="1" a="1"/>
  <c r="H1405" i="1" s="1"/>
  <c r="J1403" i="1" a="1"/>
  <c r="J1403" i="1" s="1"/>
  <c r="F1402" i="1" a="1"/>
  <c r="F1402" i="1" s="1"/>
  <c r="K1401" i="1" a="1"/>
  <c r="K1401" i="1" s="1"/>
  <c r="K1400" i="1" a="1"/>
  <c r="K1400" i="1" s="1"/>
  <c r="I1399" i="1" a="1"/>
  <c r="I1399" i="1" s="1"/>
  <c r="G1405" i="1" a="1"/>
  <c r="G1405" i="1" s="1"/>
  <c r="F1399" i="1" a="1"/>
  <c r="F1399" i="1" s="1"/>
  <c r="F1405" i="1" a="1"/>
  <c r="F1405" i="1" s="1"/>
  <c r="J1402" i="1" a="1"/>
  <c r="J1402" i="1" s="1"/>
  <c r="J1400" i="1" a="1"/>
  <c r="J1400" i="1" s="1"/>
  <c r="I1403" i="1" a="1"/>
  <c r="I1403" i="1" s="1"/>
  <c r="H1403" i="1" a="1"/>
  <c r="H1403" i="1" s="1"/>
  <c r="G1401" i="1" a="1"/>
  <c r="G1401" i="1" s="1"/>
  <c r="H1399" i="1" a="1"/>
  <c r="H1399" i="1" s="1"/>
  <c r="K1402" i="1" a="1"/>
  <c r="K1402" i="1" s="1"/>
  <c r="H1400" i="1" a="1"/>
  <c r="H1400" i="1" s="1"/>
  <c r="J1401" i="1" a="1"/>
  <c r="J1401" i="1" s="1"/>
  <c r="J1399" i="1" a="1"/>
  <c r="J1399" i="1" s="1"/>
  <c r="J1405" i="1" a="1"/>
  <c r="J1405" i="1" s="1"/>
  <c r="F1401" i="1" a="1"/>
  <c r="F1401" i="1" s="1"/>
  <c r="G1400" i="1" a="1"/>
  <c r="G1400" i="1" s="1"/>
  <c r="I1402" i="1" a="1"/>
  <c r="I1402" i="1" s="1"/>
  <c r="K1399" i="1" a="1"/>
  <c r="K1399" i="1" s="1"/>
  <c r="J1406" i="1" a="1"/>
  <c r="J1406" i="1" s="1"/>
  <c r="G1399" i="1" a="1"/>
  <c r="G1399" i="1" s="1"/>
  <c r="I1406" i="1" a="1"/>
  <c r="I1406" i="1" s="1"/>
  <c r="G1406" i="1" a="1"/>
  <c r="G1406" i="1" s="1"/>
  <c r="G1403" i="1" a="1"/>
  <c r="G1403" i="1" s="1"/>
  <c r="F1403" i="1" a="1"/>
  <c r="F1403" i="1" s="1"/>
  <c r="H1402" i="1" a="1"/>
  <c r="H1402" i="1" s="1"/>
  <c r="I1401" i="1" a="1"/>
  <c r="I1401" i="1" s="1"/>
  <c r="H1401" i="1" a="1"/>
  <c r="H1401" i="1" s="1"/>
  <c r="G1402" i="1" a="1"/>
  <c r="G1402" i="1" s="1"/>
  <c r="H1406" i="1" a="1"/>
  <c r="H1406" i="1" s="1"/>
  <c r="K1403" i="1" a="1"/>
  <c r="K1403" i="1" s="1"/>
  <c r="F1400" i="1" a="1"/>
  <c r="F1400" i="1" s="1"/>
  <c r="I1370" i="1" a="1"/>
  <c r="I1370" i="1" s="1"/>
  <c r="G1369" i="1" a="1"/>
  <c r="G1369" i="1" s="1"/>
  <c r="I1369" i="1" a="1"/>
  <c r="I1369" i="1" s="1"/>
  <c r="I1367" i="1" a="1"/>
  <c r="I1367" i="1" s="1"/>
  <c r="F1371" i="1" a="1"/>
  <c r="F1371" i="1" s="1"/>
  <c r="I1371" i="1" a="1"/>
  <c r="I1371" i="1" s="1"/>
  <c r="H1369" i="1" a="1"/>
  <c r="H1369" i="1" s="1"/>
  <c r="F1370" i="1" a="1"/>
  <c r="F1370" i="1" s="1"/>
  <c r="G1368" i="1" a="1"/>
  <c r="G1368" i="1" s="1"/>
  <c r="G1366" i="1" a="1"/>
  <c r="G1366" i="1" s="1"/>
  <c r="K1372" i="1" a="1"/>
  <c r="K1372" i="1" s="1"/>
  <c r="I1368" i="1" a="1"/>
  <c r="I1368" i="1" s="1"/>
  <c r="J1372" i="1" a="1"/>
  <c r="J1372" i="1" s="1"/>
  <c r="F1372" i="1" a="1"/>
  <c r="F1372" i="1" s="1"/>
  <c r="G1367" i="1" a="1"/>
  <c r="G1367" i="1" s="1"/>
  <c r="I1365" i="1" a="1"/>
  <c r="I1365" i="1" s="1"/>
  <c r="H1370" i="1" a="1"/>
  <c r="H1370" i="1" s="1"/>
  <c r="J1365" i="1" a="1"/>
  <c r="J1365" i="1" s="1"/>
  <c r="K1367" i="1" a="1"/>
  <c r="K1367" i="1" s="1"/>
  <c r="J1370" i="1" a="1"/>
  <c r="J1370" i="1" s="1"/>
  <c r="J1369" i="1" a="1"/>
  <c r="J1369" i="1" s="1"/>
  <c r="H1372" i="1" a="1"/>
  <c r="H1372" i="1" s="1"/>
  <c r="J1371" i="1" a="1"/>
  <c r="J1371" i="1" s="1"/>
  <c r="F1367" i="1" a="1"/>
  <c r="F1367" i="1" s="1"/>
  <c r="G1372" i="1" a="1"/>
  <c r="G1372" i="1" s="1"/>
  <c r="H1368" i="1" a="1"/>
  <c r="H1368" i="1" s="1"/>
  <c r="K1371" i="1" a="1"/>
  <c r="K1371" i="1" s="1"/>
  <c r="J1366" i="1" a="1"/>
  <c r="J1366" i="1" s="1"/>
  <c r="F1368" i="1" a="1"/>
  <c r="F1368" i="1" s="1"/>
  <c r="I1372" i="1" a="1"/>
  <c r="I1372" i="1" s="1"/>
  <c r="K1370" i="1" a="1"/>
  <c r="K1370" i="1" s="1"/>
  <c r="G1370" i="1" a="1"/>
  <c r="G1370" i="1" s="1"/>
  <c r="K1368" i="1" a="1"/>
  <c r="K1368" i="1" s="1"/>
  <c r="H1367" i="1" a="1"/>
  <c r="H1367" i="1" s="1"/>
  <c r="F1366" i="1" a="1"/>
  <c r="F1366" i="1" s="1"/>
  <c r="J1367" i="1" a="1"/>
  <c r="J1367" i="1" s="1"/>
  <c r="I1366" i="1" a="1"/>
  <c r="I1366" i="1" s="1"/>
  <c r="J1368" i="1" a="1"/>
  <c r="J1368" i="1" s="1"/>
  <c r="G1371" i="1" a="1"/>
  <c r="G1371" i="1" s="1"/>
  <c r="K1369" i="1" a="1"/>
  <c r="K1369" i="1" s="1"/>
  <c r="K1365" i="1" a="1"/>
  <c r="K1365" i="1" s="1"/>
  <c r="H1366" i="1" a="1"/>
  <c r="H1366" i="1" s="1"/>
  <c r="F1369" i="1" a="1"/>
  <c r="F1369" i="1" s="1"/>
  <c r="K1366" i="1" a="1"/>
  <c r="K1366" i="1" s="1"/>
  <c r="H1371" i="1" a="1"/>
  <c r="H1371" i="1" s="1"/>
  <c r="F1362" i="1" a="1"/>
  <c r="F1362" i="1" s="1"/>
  <c r="H1361" i="1" a="1"/>
  <c r="H1361" i="1" s="1"/>
  <c r="K1359" i="1" a="1"/>
  <c r="K1359" i="1" s="1"/>
  <c r="G1360" i="1" a="1"/>
  <c r="G1360" i="1" s="1"/>
  <c r="K1361" i="1" a="1"/>
  <c r="K1361" i="1" s="1"/>
  <c r="J1361" i="1" a="1"/>
  <c r="J1361" i="1" s="1"/>
  <c r="K1358" i="1" a="1"/>
  <c r="K1358" i="1" s="1"/>
  <c r="J1358" i="1" a="1"/>
  <c r="J1358" i="1" s="1"/>
  <c r="H1358" i="1" a="1"/>
  <c r="H1358" i="1" s="1"/>
  <c r="G1355" i="1" a="1"/>
  <c r="G1355" i="1" s="1"/>
  <c r="K1356" i="1" a="1"/>
  <c r="K1356" i="1" s="1"/>
  <c r="I1356" i="1" a="1"/>
  <c r="I1356" i="1" s="1"/>
  <c r="F1356" i="1" a="1"/>
  <c r="F1356" i="1" s="1"/>
  <c r="J1355" i="1" a="1"/>
  <c r="J1355" i="1" s="1"/>
  <c r="F1359" i="1" a="1"/>
  <c r="F1359" i="1" s="1"/>
  <c r="G1358" i="1" a="1"/>
  <c r="G1358" i="1" s="1"/>
  <c r="H1355" i="1" a="1"/>
  <c r="H1355" i="1" s="1"/>
  <c r="K1360" i="1" a="1"/>
  <c r="K1360" i="1" s="1"/>
  <c r="I1357" i="1" a="1"/>
  <c r="I1357" i="1" s="1"/>
  <c r="F1357" i="1" a="1"/>
  <c r="F1357" i="1" s="1"/>
  <c r="H1356" i="1" a="1"/>
  <c r="H1356" i="1" s="1"/>
  <c r="I1361" i="1" a="1"/>
  <c r="I1361" i="1" s="1"/>
  <c r="I1355" i="1" a="1"/>
  <c r="I1355" i="1" s="1"/>
  <c r="G1361" i="1" a="1"/>
  <c r="G1361" i="1" s="1"/>
  <c r="I1360" i="1" a="1"/>
  <c r="I1360" i="1" s="1"/>
  <c r="F1360" i="1" a="1"/>
  <c r="F1360" i="1" s="1"/>
  <c r="G1359" i="1" a="1"/>
  <c r="G1359" i="1" s="1"/>
  <c r="F1361" i="1" a="1"/>
  <c r="F1361" i="1" s="1"/>
  <c r="J1356" i="1" a="1"/>
  <c r="J1356" i="1" s="1"/>
  <c r="G1356" i="1" a="1"/>
  <c r="G1356" i="1" s="1"/>
  <c r="K1354" i="1" a="1"/>
  <c r="K1354" i="1" s="1"/>
  <c r="J1359" i="1" a="1"/>
  <c r="J1359" i="1" s="1"/>
  <c r="K1355" i="1" a="1"/>
  <c r="K1355" i="1" s="1"/>
  <c r="F1358" i="1" a="1"/>
  <c r="F1358" i="1" s="1"/>
  <c r="I1358" i="1" a="1"/>
  <c r="I1358" i="1" s="1"/>
  <c r="H1365" i="1" a="1"/>
  <c r="H1365" i="1" s="1"/>
  <c r="G1363" i="1" a="1"/>
  <c r="G1363" i="1" s="1"/>
  <c r="F1355" i="1" a="1"/>
  <c r="F1355" i="1" s="1"/>
  <c r="I1363" i="1" a="1"/>
  <c r="I1363" i="1" s="1"/>
  <c r="G1365" i="1" a="1"/>
  <c r="G1365" i="1" s="1"/>
  <c r="K1362" i="1" a="1"/>
  <c r="K1362" i="1" s="1"/>
  <c r="H1357" i="1" a="1"/>
  <c r="H1357" i="1" s="1"/>
  <c r="I1359" i="1" a="1"/>
  <c r="I1359" i="1" s="1"/>
  <c r="J1360" i="1" a="1"/>
  <c r="J1360" i="1" s="1"/>
  <c r="F1365" i="1" a="1"/>
  <c r="F1365" i="1" s="1"/>
  <c r="K1364" i="1" a="1"/>
  <c r="K1364" i="1" s="1"/>
  <c r="J1364" i="1" a="1"/>
  <c r="J1364" i="1" s="1"/>
  <c r="I1364" i="1" a="1"/>
  <c r="I1364" i="1" s="1"/>
  <c r="H1360" i="1" a="1"/>
  <c r="H1360" i="1" s="1"/>
  <c r="H1364" i="1" a="1"/>
  <c r="H1364" i="1" s="1"/>
  <c r="G1364" i="1" a="1"/>
  <c r="G1364" i="1" s="1"/>
  <c r="F1364" i="1" a="1"/>
  <c r="F1364" i="1" s="1"/>
  <c r="G1357" i="1" a="1"/>
  <c r="G1357" i="1" s="1"/>
  <c r="K1363" i="1" a="1"/>
  <c r="K1363" i="1" s="1"/>
  <c r="J1363" i="1" a="1"/>
  <c r="J1363" i="1" s="1"/>
  <c r="H1363" i="1" a="1"/>
  <c r="H1363" i="1" s="1"/>
  <c r="F1363" i="1" a="1"/>
  <c r="F1363" i="1" s="1"/>
  <c r="J1362" i="1" a="1"/>
  <c r="J1362" i="1" s="1"/>
  <c r="J1357" i="1" a="1"/>
  <c r="J1357" i="1" s="1"/>
  <c r="I1362" i="1" a="1"/>
  <c r="I1362" i="1" s="1"/>
  <c r="H1362" i="1" a="1"/>
  <c r="H1362" i="1" s="1"/>
  <c r="G1362" i="1" a="1"/>
  <c r="G1362" i="1" s="1"/>
  <c r="K1357" i="1" a="1"/>
  <c r="K1357" i="1" s="1"/>
  <c r="H1359" i="1" a="1"/>
  <c r="H1359" i="1" s="1"/>
  <c r="J1345" i="1" a="1"/>
  <c r="J1345" i="1" s="1"/>
  <c r="J1350" i="1" a="1"/>
  <c r="J1350" i="1" s="1"/>
  <c r="J1348" i="1" a="1"/>
  <c r="J1348" i="1" s="1"/>
  <c r="G1346" i="1" a="1"/>
  <c r="G1346" i="1" s="1"/>
  <c r="J1347" i="1" a="1"/>
  <c r="J1347" i="1" s="1"/>
  <c r="F1345" i="1" a="1"/>
  <c r="F1345" i="1" s="1"/>
  <c r="H1353" i="1" a="1"/>
  <c r="H1353" i="1" s="1"/>
  <c r="F1346" i="1" a="1"/>
  <c r="F1346" i="1" s="1"/>
  <c r="G1347" i="1" a="1"/>
  <c r="G1347" i="1" s="1"/>
  <c r="H1346" i="1" a="1"/>
  <c r="H1346" i="1" s="1"/>
  <c r="H1348" i="1" a="1"/>
  <c r="H1348" i="1" s="1"/>
  <c r="F1348" i="1" a="1"/>
  <c r="F1348" i="1" s="1"/>
  <c r="F1353" i="1" a="1"/>
  <c r="F1353" i="1" s="1"/>
  <c r="J1352" i="1" a="1"/>
  <c r="J1352" i="1" s="1"/>
  <c r="G1352" i="1" a="1"/>
  <c r="G1352" i="1" s="1"/>
  <c r="I1352" i="1" a="1"/>
  <c r="I1352" i="1" s="1"/>
  <c r="K1351" i="1" a="1"/>
  <c r="K1351" i="1" s="1"/>
  <c r="H1351" i="1" a="1"/>
  <c r="H1351" i="1" s="1"/>
  <c r="J1344" i="1" a="1"/>
  <c r="J1344" i="1" s="1"/>
  <c r="F1350" i="1" a="1"/>
  <c r="F1350" i="1" s="1"/>
  <c r="K1347" i="1" a="1"/>
  <c r="K1347" i="1" s="1"/>
  <c r="I1350" i="1" a="1"/>
  <c r="I1350" i="1" s="1"/>
  <c r="G1344" i="1" a="1"/>
  <c r="G1344" i="1" s="1"/>
  <c r="I1348" i="1" a="1"/>
  <c r="I1348" i="1" s="1"/>
  <c r="H1347" i="1" a="1"/>
  <c r="H1347" i="1" s="1"/>
  <c r="F1347" i="1" a="1"/>
  <c r="F1347" i="1" s="1"/>
  <c r="H1344" i="1" a="1"/>
  <c r="H1344" i="1" s="1"/>
  <c r="G1345" i="1" a="1"/>
  <c r="G1345" i="1" s="1"/>
  <c r="K1346" i="1" a="1"/>
  <c r="K1346" i="1" s="1"/>
  <c r="G1353" i="1" a="1"/>
  <c r="G1353" i="1" s="1"/>
  <c r="H1352" i="1" a="1"/>
  <c r="H1352" i="1" s="1"/>
  <c r="F1352" i="1" a="1"/>
  <c r="F1352" i="1" s="1"/>
  <c r="K1350" i="1" a="1"/>
  <c r="K1350" i="1" s="1"/>
  <c r="I1345" i="1" a="1"/>
  <c r="I1345" i="1" s="1"/>
  <c r="K1348" i="1" a="1"/>
  <c r="K1348" i="1" s="1"/>
  <c r="F1344" i="1" a="1"/>
  <c r="F1344" i="1" s="1"/>
  <c r="G1351" i="1" a="1"/>
  <c r="G1351" i="1" s="1"/>
  <c r="J1346" i="1" a="1"/>
  <c r="J1346" i="1" s="1"/>
  <c r="K1352" i="1" a="1"/>
  <c r="K1352" i="1" s="1"/>
  <c r="G1350" i="1" a="1"/>
  <c r="G1350" i="1" s="1"/>
  <c r="G1348" i="1" a="1"/>
  <c r="G1348" i="1" s="1"/>
  <c r="J1354" i="1" a="1"/>
  <c r="J1354" i="1" s="1"/>
  <c r="J1351" i="1" a="1"/>
  <c r="J1351" i="1" s="1"/>
  <c r="I1344" i="1" a="1"/>
  <c r="I1344" i="1" s="1"/>
  <c r="H1350" i="1" a="1"/>
  <c r="H1350" i="1" s="1"/>
  <c r="I1347" i="1" a="1"/>
  <c r="I1347" i="1" s="1"/>
  <c r="I1354" i="1" a="1"/>
  <c r="I1354" i="1" s="1"/>
  <c r="K1344" i="1" a="1"/>
  <c r="K1344" i="1" s="1"/>
  <c r="H1354" i="1" a="1"/>
  <c r="H1354" i="1" s="1"/>
  <c r="G1354" i="1" a="1"/>
  <c r="G1354" i="1" s="1"/>
  <c r="H1345" i="1" a="1"/>
  <c r="H1345" i="1" s="1"/>
  <c r="F1351" i="1" a="1"/>
  <c r="F1351" i="1" s="1"/>
  <c r="I1346" i="1" a="1"/>
  <c r="I1346" i="1" s="1"/>
  <c r="F1354" i="1" a="1"/>
  <c r="F1354" i="1" s="1"/>
  <c r="K1353" i="1" a="1"/>
  <c r="K1353" i="1" s="1"/>
  <c r="J1353" i="1" a="1"/>
  <c r="J1353" i="1" s="1"/>
  <c r="I1353" i="1" a="1"/>
  <c r="I1353" i="1" s="1"/>
  <c r="I1351" i="1" a="1"/>
  <c r="I1351" i="1" s="1"/>
  <c r="K1345" i="1" a="1"/>
  <c r="K1345" i="1" s="1"/>
  <c r="F1336" i="1" a="1"/>
  <c r="F1336" i="1" s="1"/>
  <c r="J1335" i="1" a="1"/>
  <c r="J1335" i="1" s="1"/>
  <c r="G1332" i="1" a="1"/>
  <c r="G1332" i="1" s="1"/>
  <c r="G1337" i="1" a="1"/>
  <c r="G1337" i="1" s="1"/>
  <c r="F1337" i="1" a="1"/>
  <c r="F1337" i="1" s="1"/>
  <c r="F1335" i="1" a="1"/>
  <c r="F1335" i="1" s="1"/>
  <c r="I1334" i="1" a="1"/>
  <c r="I1334" i="1" s="1"/>
  <c r="H1332" i="1" a="1"/>
  <c r="H1332" i="1" s="1"/>
  <c r="H1333" i="1" a="1"/>
  <c r="H1333" i="1" s="1"/>
  <c r="H1331" i="1" a="1"/>
  <c r="H1331" i="1" s="1"/>
  <c r="H1338" i="1" a="1"/>
  <c r="H1338" i="1" s="1"/>
  <c r="K1333" i="1" a="1"/>
  <c r="K1333" i="1" s="1"/>
  <c r="F1332" i="1" a="1"/>
  <c r="F1332" i="1" s="1"/>
  <c r="I1333" i="1" a="1"/>
  <c r="I1333" i="1" s="1"/>
  <c r="H1330" i="1" a="1"/>
  <c r="H1330" i="1" s="1"/>
  <c r="J1333" i="1" a="1"/>
  <c r="J1333" i="1" s="1"/>
  <c r="K1332" i="1" a="1"/>
  <c r="K1332" i="1" s="1"/>
  <c r="K1335" i="1" a="1"/>
  <c r="K1335" i="1" s="1"/>
  <c r="K1337" i="1" a="1"/>
  <c r="K1337" i="1" s="1"/>
  <c r="H1337" i="1" a="1"/>
  <c r="H1337" i="1" s="1"/>
  <c r="F1333" i="1" a="1"/>
  <c r="F1333" i="1" s="1"/>
  <c r="J1338" i="1" a="1"/>
  <c r="J1338" i="1" s="1"/>
  <c r="K1331" i="1" a="1"/>
  <c r="K1331" i="1" s="1"/>
  <c r="J1330" i="1" a="1"/>
  <c r="J1330" i="1" s="1"/>
  <c r="K1338" i="1" a="1"/>
  <c r="K1338" i="1" s="1"/>
  <c r="J1337" i="1" a="1"/>
  <c r="J1337" i="1" s="1"/>
  <c r="I1335" i="1" a="1"/>
  <c r="I1335" i="1" s="1"/>
  <c r="I1336" i="1" a="1"/>
  <c r="I1336" i="1" s="1"/>
  <c r="I1330" i="1" a="1"/>
  <c r="I1330" i="1" s="1"/>
  <c r="G1333" i="1" a="1"/>
  <c r="G1333" i="1"/>
  <c r="G1334" i="1" a="1"/>
  <c r="G1334" i="1" s="1"/>
  <c r="K1334" i="1" a="1"/>
  <c r="K1334" i="1"/>
  <c r="J1331" i="1" a="1"/>
  <c r="J1331" i="1"/>
  <c r="H1335" i="1" a="1"/>
  <c r="H1335" i="1" s="1"/>
  <c r="I1338" i="1" a="1"/>
  <c r="I1338" i="1" s="1"/>
  <c r="G1338" i="1" a="1"/>
  <c r="G1338" i="1" s="1"/>
  <c r="J1332" i="1" a="1"/>
  <c r="J1332" i="1" s="1"/>
  <c r="F1338" i="1" a="1"/>
  <c r="F1338" i="1"/>
  <c r="I1337" i="1" a="1"/>
  <c r="I1337" i="1" s="1"/>
  <c r="K1336" i="1" a="1"/>
  <c r="K1336" i="1"/>
  <c r="J1334" i="1" a="1"/>
  <c r="J1334" i="1" s="1"/>
  <c r="H1336" i="1" a="1"/>
  <c r="H1336" i="1" s="1"/>
  <c r="F1334" i="1" a="1"/>
  <c r="F1334" i="1" s="1"/>
  <c r="F1331" i="1" a="1"/>
  <c r="F1331" i="1"/>
  <c r="G1331" i="1" a="1"/>
  <c r="G1331" i="1" s="1"/>
  <c r="I1331" i="1" a="1"/>
  <c r="I1331" i="1" s="1"/>
  <c r="K1330" i="1" a="1"/>
  <c r="K1330" i="1" s="1"/>
  <c r="J1336" i="1" a="1"/>
  <c r="J1336" i="1" s="1"/>
  <c r="H1334" i="1" a="1"/>
  <c r="H1334" i="1" s="1"/>
  <c r="I1332" i="1" a="1"/>
  <c r="I1332" i="1" s="1"/>
  <c r="G1336" i="1" a="1"/>
  <c r="G1336" i="1"/>
  <c r="G1335" i="1" a="1"/>
  <c r="G1335" i="1" s="1"/>
  <c r="I1324" i="1" a="1"/>
  <c r="I1324" i="1"/>
  <c r="I1318" i="1" a="1"/>
  <c r="I1318" i="1"/>
  <c r="F1317" i="1" a="1"/>
  <c r="F1317" i="1" s="1"/>
  <c r="K1321" i="1" a="1"/>
  <c r="K1321" i="1" s="1"/>
  <c r="G1323" i="1" a="1"/>
  <c r="G1323" i="1"/>
  <c r="I1319" i="1" a="1"/>
  <c r="I1319" i="1" s="1"/>
  <c r="F1319" i="1" a="1"/>
  <c r="F1319" i="1"/>
  <c r="K1316" i="1" a="1"/>
  <c r="K1316" i="1" s="1"/>
  <c r="H1323" i="1" a="1"/>
  <c r="H1323" i="1"/>
  <c r="G1322" i="1" a="1"/>
  <c r="G1322" i="1" s="1"/>
  <c r="I1316" i="1" a="1"/>
  <c r="I1316" i="1" s="1"/>
  <c r="J1324" i="1" a="1"/>
  <c r="J1324" i="1" s="1"/>
  <c r="I1322" i="1" a="1"/>
  <c r="I1322" i="1"/>
  <c r="F1318" i="1" a="1"/>
  <c r="F1318" i="1" s="1"/>
  <c r="J1317" i="1" a="1"/>
  <c r="J1317" i="1" s="1"/>
  <c r="K1322" i="1" a="1"/>
  <c r="K1322" i="1" s="1"/>
  <c r="G1321" i="1" a="1"/>
  <c r="G1321" i="1" s="1"/>
  <c r="G1317" i="1" a="1"/>
  <c r="G1317" i="1" s="1"/>
  <c r="F1316" i="1" a="1"/>
  <c r="F1316" i="1" s="1"/>
  <c r="J1319" i="1" a="1"/>
  <c r="J1319" i="1"/>
  <c r="G1319" i="1" a="1"/>
  <c r="G1319" i="1" s="1"/>
  <c r="J1318" i="1" a="1"/>
  <c r="J1318" i="1"/>
  <c r="H1317" i="1" a="1"/>
  <c r="H1317" i="1"/>
  <c r="G1316" i="1" a="1"/>
  <c r="G1316" i="1" s="1"/>
  <c r="F1321" i="1" a="1"/>
  <c r="F1321" i="1" s="1"/>
  <c r="I1321" i="1" a="1"/>
  <c r="I1321" i="1"/>
  <c r="H1322" i="1" a="1"/>
  <c r="H1322" i="1" s="1"/>
  <c r="J1316" i="1" a="1"/>
  <c r="J1316" i="1"/>
  <c r="I1323" i="1" a="1"/>
  <c r="I1323" i="1" s="1"/>
  <c r="K1319" i="1" a="1"/>
  <c r="K1319" i="1"/>
  <c r="F1322" i="1" a="1"/>
  <c r="F1322" i="1" s="1"/>
  <c r="H1316" i="1" a="1"/>
  <c r="H1316" i="1" s="1"/>
  <c r="F1324" i="1" a="1"/>
  <c r="F1324" i="1" s="1"/>
  <c r="J1321" i="1" a="1"/>
  <c r="J1321" i="1" s="1"/>
  <c r="K1317" i="1" a="1"/>
  <c r="K1317" i="1" s="1"/>
  <c r="H1321" i="1" a="1"/>
  <c r="H1321" i="1" s="1"/>
  <c r="H1319" i="1" a="1"/>
  <c r="H1319" i="1" s="1"/>
  <c r="I1317" i="1" a="1"/>
  <c r="I1317" i="1" s="1"/>
  <c r="J1323" i="1" a="1"/>
  <c r="J1323" i="1" s="1"/>
  <c r="K1324" i="1" a="1"/>
  <c r="K1324" i="1" s="1"/>
  <c r="K1318" i="1" a="1"/>
  <c r="K1318" i="1"/>
  <c r="G1330" i="1" a="1"/>
  <c r="G1330" i="1" s="1"/>
  <c r="K1323" i="1" a="1"/>
  <c r="K1323" i="1"/>
  <c r="F1330" i="1" a="1"/>
  <c r="F1330" i="1" s="1"/>
  <c r="F1323" i="1" a="1"/>
  <c r="F1323" i="1"/>
  <c r="G1324" i="1" a="1"/>
  <c r="G1324" i="1" s="1"/>
  <c r="J1322" i="1" a="1"/>
  <c r="J1322" i="1"/>
  <c r="G1318" i="1" a="1"/>
  <c r="G1318" i="1" s="1"/>
  <c r="H1324" i="1" a="1"/>
  <c r="H1324" i="1"/>
  <c r="H1318" i="1" a="1"/>
  <c r="H1318" i="1" s="1"/>
  <c r="G1258" i="1" a="1"/>
  <c r="G1258" i="1"/>
  <c r="G1261" i="1" a="1"/>
  <c r="G1261" i="1" s="1"/>
  <c r="F1261" i="1" a="1"/>
  <c r="F1261" i="1" s="1"/>
  <c r="G1257" i="1" a="1"/>
  <c r="G1257" i="1" s="1"/>
  <c r="J1260" i="1" a="1"/>
  <c r="J1260" i="1"/>
  <c r="I1256" i="1" a="1"/>
  <c r="I1256" i="1" s="1"/>
  <c r="F1256" i="1" a="1"/>
  <c r="F1256" i="1" s="1"/>
  <c r="H1259" i="1" a="1"/>
  <c r="H1259" i="1" s="1"/>
  <c r="K1255" i="1" a="1"/>
  <c r="K1255" i="1" s="1"/>
  <c r="H1260" i="1" a="1"/>
  <c r="H1260" i="1" s="1"/>
  <c r="K1258" i="1" a="1"/>
  <c r="K1258" i="1" s="1"/>
  <c r="K1261" i="1" a="1"/>
  <c r="K1261" i="1"/>
  <c r="K1257" i="1" a="1"/>
  <c r="K1257" i="1" s="1"/>
  <c r="J1259" i="1" a="1"/>
  <c r="J1259" i="1" s="1"/>
  <c r="J1261" i="1" a="1"/>
  <c r="J1261" i="1" s="1"/>
  <c r="F1260" i="1" a="1"/>
  <c r="F1260" i="1"/>
  <c r="J1256" i="1" a="1"/>
  <c r="J1256" i="1" s="1"/>
  <c r="G1256" i="1" a="1"/>
  <c r="G1256" i="1"/>
  <c r="H1258" i="1" a="1"/>
  <c r="H1258" i="1" s="1"/>
  <c r="G1259" i="1" a="1"/>
  <c r="G1259" i="1"/>
  <c r="I1260" i="1" a="1"/>
  <c r="I1260" i="1" s="1"/>
  <c r="F1258" i="1" a="1"/>
  <c r="F1258" i="1"/>
  <c r="H1257" i="1" a="1"/>
  <c r="H1257" i="1" s="1"/>
  <c r="I1258" i="1" a="1"/>
  <c r="I1258" i="1" s="1"/>
  <c r="K1256" i="1" a="1"/>
  <c r="K1256" i="1"/>
  <c r="I1261" i="1" a="1"/>
  <c r="I1261" i="1"/>
  <c r="G1260" i="1" a="1"/>
  <c r="G1260" i="1" s="1"/>
  <c r="I1259" i="1" a="1"/>
  <c r="I1259" i="1" s="1"/>
  <c r="H1261" i="1" a="1"/>
  <c r="H1261" i="1" s="1"/>
  <c r="J1258" i="1" a="1"/>
  <c r="J1258" i="1" s="1"/>
  <c r="J1257" i="1" a="1"/>
  <c r="J1257" i="1" s="1"/>
  <c r="H1256" i="1" a="1"/>
  <c r="H1256" i="1" s="1"/>
  <c r="F1259" i="1" a="1"/>
  <c r="F1259" i="1"/>
  <c r="K1315" i="1" a="1"/>
  <c r="K1315" i="1" s="1"/>
  <c r="J1315" i="1" a="1"/>
  <c r="J1315" i="1" s="1"/>
  <c r="I1315" i="1" a="1"/>
  <c r="I1315" i="1" s="1"/>
  <c r="H1315" i="1" a="1"/>
  <c r="H1315" i="1"/>
  <c r="G1315" i="1" a="1"/>
  <c r="G1315" i="1" s="1"/>
  <c r="K1259" i="1" a="1"/>
  <c r="K1259" i="1"/>
  <c r="F1315" i="1" a="1"/>
  <c r="F1315" i="1" s="1"/>
  <c r="K1260" i="1" a="1"/>
  <c r="K1260" i="1"/>
  <c r="F1257" i="1" a="1"/>
  <c r="F1257" i="1" s="1"/>
  <c r="I1257" i="1" a="1"/>
  <c r="I1257" i="1"/>
  <c r="H1245" i="1" a="1"/>
  <c r="H1245" i="1" s="1"/>
  <c r="I1250" i="1" a="1"/>
  <c r="I1250" i="1" s="1"/>
  <c r="I1249" i="1" a="1"/>
  <c r="I1249" i="1"/>
  <c r="G1247" i="1" a="1"/>
  <c r="G1247" i="1"/>
  <c r="I1246" i="1" a="1"/>
  <c r="I1246" i="1" s="1"/>
  <c r="H1250" i="1" a="1"/>
  <c r="H1250" i="1" s="1"/>
  <c r="K1245" i="1" a="1"/>
  <c r="K1245" i="1" s="1"/>
  <c r="H1255" i="1" a="1"/>
  <c r="H1255" i="1" s="1"/>
  <c r="H1254" i="1" a="1"/>
  <c r="H1254" i="1" s="1"/>
  <c r="J1253" i="1" a="1"/>
  <c r="J1253" i="1" s="1"/>
  <c r="J1251" i="1" a="1"/>
  <c r="J1251" i="1" s="1"/>
  <c r="F1250" i="1" a="1"/>
  <c r="F1250" i="1" s="1"/>
  <c r="H1247" i="1" a="1"/>
  <c r="H1247" i="1" s="1"/>
  <c r="I1245" i="1" a="1"/>
  <c r="I1245" i="1" s="1"/>
  <c r="K1253" i="1" a="1"/>
  <c r="K1253" i="1"/>
  <c r="F1253" i="1" a="1"/>
  <c r="F1253" i="1" s="1"/>
  <c r="F1248" i="1" a="1"/>
  <c r="F1248" i="1"/>
  <c r="F1247" i="1" a="1"/>
  <c r="F1247" i="1" s="1"/>
  <c r="J1248" i="1" a="1"/>
  <c r="J1248" i="1"/>
  <c r="H1248" i="1" a="1"/>
  <c r="H1248" i="1" s="1"/>
  <c r="J1249" i="1" a="1"/>
  <c r="J1249" i="1" s="1"/>
  <c r="F1255" i="1" a="1"/>
  <c r="F1255" i="1"/>
  <c r="H1253" i="1" a="1"/>
  <c r="H1253" i="1" s="1"/>
  <c r="F1252" i="1" a="1"/>
  <c r="F1252" i="1"/>
  <c r="F1246" i="1" a="1"/>
  <c r="F1246" i="1"/>
  <c r="H1251" i="1" a="1"/>
  <c r="H1251" i="1" s="1"/>
  <c r="J1247" i="1" a="1"/>
  <c r="J1247" i="1" s="1"/>
  <c r="J1255" i="1" a="1"/>
  <c r="J1255" i="1" s="1"/>
  <c r="G1255" i="1" a="1"/>
  <c r="G1255" i="1" s="1"/>
  <c r="G1252" i="1" a="1"/>
  <c r="G1252" i="1" s="1"/>
  <c r="G1251" i="1" a="1"/>
  <c r="G1251" i="1" s="1"/>
  <c r="G1249" i="1" a="1"/>
  <c r="G1249" i="1"/>
  <c r="K1247" i="1" a="1"/>
  <c r="K1247" i="1" s="1"/>
  <c r="H1246" i="1" a="1"/>
  <c r="H1246" i="1" s="1"/>
  <c r="I1252" i="1" a="1"/>
  <c r="I1252" i="1" s="1"/>
  <c r="G1248" i="1" a="1"/>
  <c r="G1248" i="1"/>
  <c r="J1246" i="1" a="1"/>
  <c r="J1246" i="1" s="1"/>
  <c r="F1251" i="1" a="1"/>
  <c r="F1251" i="1"/>
  <c r="G1246" i="1" a="1"/>
  <c r="G1246" i="1" s="1"/>
  <c r="G1254" i="1" a="1"/>
  <c r="G1254" i="1"/>
  <c r="K1251" i="1" a="1"/>
  <c r="K1251" i="1" s="1"/>
  <c r="I1251" i="1" a="1"/>
  <c r="I1251" i="1" s="1"/>
  <c r="I1255" i="1" a="1"/>
  <c r="I1255" i="1"/>
  <c r="I1253" i="1" a="1"/>
  <c r="I1253" i="1" s="1"/>
  <c r="K1254" i="1" a="1"/>
  <c r="K1254" i="1"/>
  <c r="J1254" i="1" a="1"/>
  <c r="J1254" i="1"/>
  <c r="I1254" i="1" a="1"/>
  <c r="I1254" i="1" s="1"/>
  <c r="F1254" i="1" a="1"/>
  <c r="F1254" i="1" s="1"/>
  <c r="I1247" i="1" a="1"/>
  <c r="I1247" i="1" s="1"/>
  <c r="G1253" i="1" a="1"/>
  <c r="G1253" i="1" s="1"/>
  <c r="H1249" i="1" a="1"/>
  <c r="H1249" i="1" s="1"/>
  <c r="K1248" i="1" a="1"/>
  <c r="K1248" i="1" s="1"/>
  <c r="K1252" i="1" a="1"/>
  <c r="K1252" i="1"/>
  <c r="J1252" i="1" a="1"/>
  <c r="J1252" i="1" s="1"/>
  <c r="H1252" i="1" a="1"/>
  <c r="H1252" i="1" s="1"/>
  <c r="G1250" i="1" a="1"/>
  <c r="G1250" i="1" s="1"/>
  <c r="J1245" i="1" a="1"/>
  <c r="J1245" i="1"/>
  <c r="K1249" i="1" a="1"/>
  <c r="K1249" i="1" s="1"/>
  <c r="I1248" i="1" a="1"/>
  <c r="I1248" i="1"/>
  <c r="K1250" i="1" a="1"/>
  <c r="K1250" i="1" s="1"/>
  <c r="J1250" i="1" a="1"/>
  <c r="J1250" i="1" s="1"/>
  <c r="F1249" i="1" a="1"/>
  <c r="F1249" i="1" s="1"/>
  <c r="K1246" i="1" a="1"/>
  <c r="K1246" i="1" s="1"/>
  <c r="G1245" i="1" a="1"/>
  <c r="G1245" i="1"/>
  <c r="K1244" i="1" a="1"/>
  <c r="K1244" i="1" s="1"/>
  <c r="K1238" i="1" a="1"/>
  <c r="K1238" i="1"/>
  <c r="J1244" i="1" a="1"/>
  <c r="J1244" i="1"/>
  <c r="G1241" i="1" a="1"/>
  <c r="G1241" i="1" s="1"/>
  <c r="I1244" i="1" a="1"/>
  <c r="I1244" i="1" s="1"/>
  <c r="H1244" i="1" a="1"/>
  <c r="H1244" i="1" s="1"/>
  <c r="K1237" i="1" a="1"/>
  <c r="K1237" i="1" s="1"/>
  <c r="F1235" i="1" a="1"/>
  <c r="F1235" i="1"/>
  <c r="K1236" i="1" a="1"/>
  <c r="K1236" i="1" s="1"/>
  <c r="K1242" i="1" a="1"/>
  <c r="K1242" i="1"/>
  <c r="G1240" i="1" a="1"/>
  <c r="G1240" i="1" s="1"/>
  <c r="J1243" i="1" a="1"/>
  <c r="J1243" i="1" s="1"/>
  <c r="F1237" i="1" a="1"/>
  <c r="F1237" i="1" s="1"/>
  <c r="G1235" i="1" a="1"/>
  <c r="G1235" i="1"/>
  <c r="J1242" i="1" a="1"/>
  <c r="J1242" i="1" s="1"/>
  <c r="K1235" i="1" a="1"/>
  <c r="K1235" i="1"/>
  <c r="I1239" i="1" a="1"/>
  <c r="I1239" i="1" s="1"/>
  <c r="H1241" i="1" a="1"/>
  <c r="H1241" i="1" s="1"/>
  <c r="K1240" i="1" a="1"/>
  <c r="K1240" i="1" s="1"/>
  <c r="J1234" i="1" a="1"/>
  <c r="J1234" i="1" s="1"/>
  <c r="I1236" i="1" a="1"/>
  <c r="I1236" i="1"/>
  <c r="G1238" i="1" a="1"/>
  <c r="G1238" i="1" s="1"/>
  <c r="G1244" i="1" a="1"/>
  <c r="G1244" i="1"/>
  <c r="F1244" i="1" a="1"/>
  <c r="F1244" i="1"/>
  <c r="H1243" i="1" a="1"/>
  <c r="H1243" i="1" s="1"/>
  <c r="G1239" i="1" a="1"/>
  <c r="G1239" i="1" s="1"/>
  <c r="H1237" i="1" a="1"/>
  <c r="H1237" i="1" s="1"/>
  <c r="F1242" i="1" a="1"/>
  <c r="F1242" i="1" s="1"/>
  <c r="H1236" i="1" a="1"/>
  <c r="H1236" i="1"/>
  <c r="K1239" i="1" a="1"/>
  <c r="K1239" i="1" s="1"/>
  <c r="J1241" i="1" a="1"/>
  <c r="J1241" i="1"/>
  <c r="K1243" i="1" a="1"/>
  <c r="K1243" i="1" s="1"/>
  <c r="I1243" i="1" a="1"/>
  <c r="I1243" i="1" s="1"/>
  <c r="G1243" i="1" a="1"/>
  <c r="G1243" i="1" s="1"/>
  <c r="F1243" i="1" a="1"/>
  <c r="F1243" i="1"/>
  <c r="K1241" i="1" a="1"/>
  <c r="K1241" i="1" s="1"/>
  <c r="I1238" i="1" a="1"/>
  <c r="I1238" i="1" s="1"/>
  <c r="H1235" i="1" a="1"/>
  <c r="H1235" i="1" s="1"/>
  <c r="I1234" i="1" a="1"/>
  <c r="I1234" i="1" s="1"/>
  <c r="I1242" i="1" a="1"/>
  <c r="I1242" i="1" s="1"/>
  <c r="I1241" i="1" a="1"/>
  <c r="I1241" i="1" s="1"/>
  <c r="J1240" i="1" a="1"/>
  <c r="J1240" i="1"/>
  <c r="G1237" i="1" a="1"/>
  <c r="G1237" i="1" s="1"/>
  <c r="H1239" i="1" a="1"/>
  <c r="H1239" i="1"/>
  <c r="F1238" i="1" a="1"/>
  <c r="F1238" i="1"/>
  <c r="F1236" i="1" a="1"/>
  <c r="F1236" i="1" s="1"/>
  <c r="G1236" i="1" a="1"/>
  <c r="G1236" i="1" s="1"/>
  <c r="I1235" i="1" a="1"/>
  <c r="I1235" i="1"/>
  <c r="H1242" i="1" a="1"/>
  <c r="H1242" i="1" s="1"/>
  <c r="G1242" i="1" a="1"/>
  <c r="G1242" i="1"/>
  <c r="H1238" i="1" a="1"/>
  <c r="H1238" i="1" s="1"/>
  <c r="J1235" i="1" a="1"/>
  <c r="J1235" i="1"/>
  <c r="J1236" i="1" a="1"/>
  <c r="J1236" i="1" s="1"/>
  <c r="I1240" i="1" a="1"/>
  <c r="I1240" i="1" s="1"/>
  <c r="J1237" i="1" a="1"/>
  <c r="J1237" i="1" s="1"/>
  <c r="I1237" i="1" a="1"/>
  <c r="I1237" i="1"/>
  <c r="J1239" i="1" a="1"/>
  <c r="J1239" i="1" s="1"/>
  <c r="F1239" i="1" a="1"/>
  <c r="F1239" i="1" s="1"/>
  <c r="K1234" i="1" a="1"/>
  <c r="K1234" i="1" s="1"/>
  <c r="H1240" i="1" a="1"/>
  <c r="H1240" i="1" s="1"/>
  <c r="J1238" i="1" a="1"/>
  <c r="J1238" i="1" s="1"/>
  <c r="F1240" i="1" a="1"/>
  <c r="F1240" i="1" s="1"/>
  <c r="F1245" i="1" a="1"/>
  <c r="F1245" i="1"/>
  <c r="F1241" i="1" a="1"/>
  <c r="F1241" i="1" s="1"/>
  <c r="H1227" i="1" a="1"/>
  <c r="H1227" i="1"/>
  <c r="F1226" i="1" a="1"/>
  <c r="F1226" i="1"/>
  <c r="K1225" i="1" a="1"/>
  <c r="K1225" i="1" s="1"/>
  <c r="G1224" i="1" a="1"/>
  <c r="G1224" i="1" s="1"/>
  <c r="K1232" i="1" a="1"/>
  <c r="K1232" i="1"/>
  <c r="J1232" i="1" a="1"/>
  <c r="J1232" i="1" s="1"/>
  <c r="H1232" i="1" a="1"/>
  <c r="H1232" i="1"/>
  <c r="F1229" i="1" a="1"/>
  <c r="F1229" i="1" s="1"/>
  <c r="K1223" i="1" a="1"/>
  <c r="K1223" i="1" s="1"/>
  <c r="G1232" i="1" a="1"/>
  <c r="G1232" i="1" s="1"/>
  <c r="I1228" i="1" a="1"/>
  <c r="I1228" i="1" s="1"/>
  <c r="J1227" i="1" a="1"/>
  <c r="J1227" i="1" s="1"/>
  <c r="H1224" i="1" a="1"/>
  <c r="H1224" i="1" s="1"/>
  <c r="G1226" i="1" a="1"/>
  <c r="G1226" i="1" s="1"/>
  <c r="F1232" i="1" a="1"/>
  <c r="F1232" i="1" s="1"/>
  <c r="K1231" i="1" a="1"/>
  <c r="K1231" i="1" s="1"/>
  <c r="I1229" i="1" a="1"/>
  <c r="I1229" i="1" s="1"/>
  <c r="F1224" i="1" a="1"/>
  <c r="F1224" i="1" s="1"/>
  <c r="I1231" i="1" a="1"/>
  <c r="I1231" i="1" s="1"/>
  <c r="H1231" i="1" a="1"/>
  <c r="H1231" i="1" s="1"/>
  <c r="G1229" i="1" a="1"/>
  <c r="G1229" i="1" s="1"/>
  <c r="H1230" i="1" a="1"/>
  <c r="H1230" i="1" s="1"/>
  <c r="K1228" i="1" a="1"/>
  <c r="K1228" i="1" s="1"/>
  <c r="I1226" i="1" a="1"/>
  <c r="I1226" i="1" s="1"/>
  <c r="I1224" i="1" a="1"/>
  <c r="I1224" i="1" s="1"/>
  <c r="J1231" i="1" a="1"/>
  <c r="J1231" i="1" s="1"/>
  <c r="G1225" i="1" a="1"/>
  <c r="G1225" i="1" s="1"/>
  <c r="J1230" i="1" a="1"/>
  <c r="J1230" i="1" s="1"/>
  <c r="K1229" i="1" a="1"/>
  <c r="K1229" i="1" s="1"/>
  <c r="J1228" i="1" a="1"/>
  <c r="J1228" i="1" s="1"/>
  <c r="K1227" i="1" a="1"/>
  <c r="K1227" i="1" s="1"/>
  <c r="K1226" i="1" a="1"/>
  <c r="K1226" i="1" s="1"/>
  <c r="H1226" i="1" a="1"/>
  <c r="H1226" i="1" s="1"/>
  <c r="K1224" i="1" a="1"/>
  <c r="K1224" i="1" s="1"/>
  <c r="J1225" i="1" a="1"/>
  <c r="J1225" i="1" s="1"/>
  <c r="F1231" i="1" a="1"/>
  <c r="F1231" i="1" s="1"/>
  <c r="K1230" i="1" a="1"/>
  <c r="K1230" i="1" s="1"/>
  <c r="H1229" i="1" a="1"/>
  <c r="H1229" i="1" s="1"/>
  <c r="J1224" i="1" a="1"/>
  <c r="J1224" i="1" s="1"/>
  <c r="F1227" i="1" a="1"/>
  <c r="F1227" i="1" s="1"/>
  <c r="G1231" i="1" a="1"/>
  <c r="G1231" i="1" s="1"/>
  <c r="I1230" i="1" a="1"/>
  <c r="I1230" i="1" s="1"/>
  <c r="I1225" i="1" a="1"/>
  <c r="I1225" i="1" s="1"/>
  <c r="F1230" i="1" a="1"/>
  <c r="F1230" i="1" s="1"/>
  <c r="G1228" i="1" a="1"/>
  <c r="G1228" i="1" s="1"/>
  <c r="F1225" i="1" a="1"/>
  <c r="F1225" i="1" s="1"/>
  <c r="J1226" i="1" a="1"/>
  <c r="J1226" i="1" s="1"/>
  <c r="H1233" i="1" a="1"/>
  <c r="H1233" i="1" s="1"/>
  <c r="G1227" i="1" a="1"/>
  <c r="G1227" i="1" s="1"/>
  <c r="H1234" i="1" a="1"/>
  <c r="H1234" i="1" s="1"/>
  <c r="I1232" i="1" a="1"/>
  <c r="I1232" i="1" s="1"/>
  <c r="G1234" i="1" a="1"/>
  <c r="G1234" i="1" s="1"/>
  <c r="F1234" i="1" a="1"/>
  <c r="F1234" i="1" s="1"/>
  <c r="K1233" i="1" a="1"/>
  <c r="K1233" i="1" s="1"/>
  <c r="J1233" i="1" a="1"/>
  <c r="J1233" i="1" s="1"/>
  <c r="I1233" i="1" a="1"/>
  <c r="I1233" i="1" s="1"/>
  <c r="G1233" i="1" a="1"/>
  <c r="G1233" i="1" s="1"/>
  <c r="J1229" i="1" a="1"/>
  <c r="J1229" i="1" s="1"/>
  <c r="F1233" i="1" a="1"/>
  <c r="F1233" i="1" s="1"/>
  <c r="G1230" i="1" a="1"/>
  <c r="G1230" i="1" s="1"/>
  <c r="I1227" i="1" a="1"/>
  <c r="I1227" i="1" s="1"/>
  <c r="H1228" i="1" a="1"/>
  <c r="H1228" i="1" s="1"/>
  <c r="F1228" i="1" a="1"/>
  <c r="F1228" i="1" s="1"/>
  <c r="H1225" i="1" a="1"/>
  <c r="H1225" i="1" s="1"/>
  <c r="J1216" i="1" a="1"/>
  <c r="J1216" i="1" s="1"/>
  <c r="K1218" i="1" a="1"/>
  <c r="K1218" i="1" s="1"/>
  <c r="F1223" i="1" a="1"/>
  <c r="F1223" i="1" s="1"/>
  <c r="K1222" i="1" a="1"/>
  <c r="K1222" i="1" s="1"/>
  <c r="F1221" i="1" a="1"/>
  <c r="F1221" i="1" s="1"/>
  <c r="J1222" i="1" a="1"/>
  <c r="J1222" i="1" s="1"/>
  <c r="J1221" i="1" a="1"/>
  <c r="J1221" i="1" s="1"/>
  <c r="I1215" i="1" a="1"/>
  <c r="I1215" i="1" s="1"/>
  <c r="I1219" i="1" a="1"/>
  <c r="I1219" i="1" s="1"/>
  <c r="H1218" i="1" a="1"/>
  <c r="H1218" i="1" s="1"/>
  <c r="I1217" i="1" a="1"/>
  <c r="I1217" i="1" s="1"/>
  <c r="G1222" i="1" a="1"/>
  <c r="G1222" i="1" s="1"/>
  <c r="F1220" i="1" a="1"/>
  <c r="F1220" i="1" s="1"/>
  <c r="I1218" i="1" a="1"/>
  <c r="I1218" i="1" s="1"/>
  <c r="K1214" i="1" a="1"/>
  <c r="K1214" i="1" s="1"/>
  <c r="F1222" i="1" a="1"/>
  <c r="F1222" i="1" s="1"/>
  <c r="I1216" i="1" a="1"/>
  <c r="I1216" i="1" s="1"/>
  <c r="G1221" i="1" a="1"/>
  <c r="G1221" i="1" s="1"/>
  <c r="I1214" i="1" a="1"/>
  <c r="I1214" i="1" s="1"/>
  <c r="J1219" i="1" a="1"/>
  <c r="J1219" i="1" s="1"/>
  <c r="G1220" i="1" a="1"/>
  <c r="G1220" i="1" s="1"/>
  <c r="H1216" i="1" a="1"/>
  <c r="H1216" i="1" s="1"/>
  <c r="G1214" i="1" a="1"/>
  <c r="G1214" i="1" s="1"/>
  <c r="F1219" i="1" a="1"/>
  <c r="F1219" i="1" s="1"/>
  <c r="F1218" i="1" a="1"/>
  <c r="F1218" i="1" s="1"/>
  <c r="J1218" i="1" a="1"/>
  <c r="J1218" i="1" s="1"/>
  <c r="J1214" i="1" a="1"/>
  <c r="J1214" i="1" s="1"/>
  <c r="I1222" i="1" a="1"/>
  <c r="I1222" i="1" s="1"/>
  <c r="K1216" i="1" a="1"/>
  <c r="K1216" i="1" s="1"/>
  <c r="F1215" i="1" a="1"/>
  <c r="F1215" i="1" s="1"/>
  <c r="G1216" i="1" a="1"/>
  <c r="G1216" i="1" s="1"/>
  <c r="F1214" i="1" a="1"/>
  <c r="F1214" i="1" s="1"/>
  <c r="J1220" i="1" a="1"/>
  <c r="J1220" i="1" s="1"/>
  <c r="G1217" i="1" a="1"/>
  <c r="G1217" i="1" s="1"/>
  <c r="J1215" i="1" a="1"/>
  <c r="J1215" i="1" s="1"/>
  <c r="G1215" i="1" a="1"/>
  <c r="G1215" i="1" s="1"/>
  <c r="J1213" i="1" a="1"/>
  <c r="J1213" i="1" s="1"/>
  <c r="K1221" i="1" a="1"/>
  <c r="K1221" i="1" s="1"/>
  <c r="F1216" i="1" a="1"/>
  <c r="F1216" i="1" s="1"/>
  <c r="G1223" i="1" a="1"/>
  <c r="G1223" i="1" s="1"/>
  <c r="I1220" i="1" a="1"/>
  <c r="I1220" i="1" s="1"/>
  <c r="J1217" i="1" a="1"/>
  <c r="J1217" i="1" s="1"/>
  <c r="H1217" i="1" a="1"/>
  <c r="H1217" i="1" s="1"/>
  <c r="H1221" i="1" a="1"/>
  <c r="H1221" i="1" s="1"/>
  <c r="H1214" i="1" a="1"/>
  <c r="H1214" i="1" s="1"/>
  <c r="I1223" i="1" a="1"/>
  <c r="I1223" i="1" s="1"/>
  <c r="K1220" i="1" a="1"/>
  <c r="K1220" i="1" s="1"/>
  <c r="F1217" i="1" a="1"/>
  <c r="F1217" i="1" s="1"/>
  <c r="I1213" i="1" a="1"/>
  <c r="I1213" i="1" s="1"/>
  <c r="K1219" i="1" a="1"/>
  <c r="K1219" i="1" s="1"/>
  <c r="K1215" i="1" a="1"/>
  <c r="K1215" i="1" s="1"/>
  <c r="H1219" i="1" a="1"/>
  <c r="H1219" i="1" s="1"/>
  <c r="G1219" i="1" a="1"/>
  <c r="G1219" i="1" s="1"/>
  <c r="G1218" i="1" a="1"/>
  <c r="G1218" i="1" s="1"/>
  <c r="J1223" i="1" a="1"/>
  <c r="J1223" i="1" s="1"/>
  <c r="H1223" i="1" a="1"/>
  <c r="H1223" i="1" s="1"/>
  <c r="I1221" i="1" a="1"/>
  <c r="I1221" i="1" s="1"/>
  <c r="K1217" i="1" a="1"/>
  <c r="K1217" i="1" s="1"/>
  <c r="K1213" i="1" a="1"/>
  <c r="K1213" i="1" s="1"/>
  <c r="H1215" i="1" a="1"/>
  <c r="H1215" i="1" s="1"/>
  <c r="H1222" i="1" a="1"/>
  <c r="H1222" i="1" s="1"/>
  <c r="H1220" i="1" a="1"/>
  <c r="H1220" i="1" s="1"/>
  <c r="J1212" i="1" a="1"/>
  <c r="J1212" i="1" s="1"/>
  <c r="I1210" i="1" a="1"/>
  <c r="I1210" i="1" s="1"/>
  <c r="G1212" i="1" a="1"/>
  <c r="G1212" i="1" s="1"/>
  <c r="K1210" i="1" a="1"/>
  <c r="K1210" i="1" s="1"/>
  <c r="F1212" i="1" a="1"/>
  <c r="F1212" i="1" s="1"/>
  <c r="F1207" i="1" a="1"/>
  <c r="F1207" i="1" s="1"/>
  <c r="G1206" i="1" a="1"/>
  <c r="G1206" i="1" s="1"/>
  <c r="J1210" i="1" a="1"/>
  <c r="J1210" i="1" s="1"/>
  <c r="I1208" i="1" a="1"/>
  <c r="I1208" i="1" s="1"/>
  <c r="K1209" i="1" a="1"/>
  <c r="K1209" i="1" s="1"/>
  <c r="I1209" i="1" a="1"/>
  <c r="I1209" i="1" s="1"/>
  <c r="H1209" i="1" a="1"/>
  <c r="H1209" i="1" s="1"/>
  <c r="K1208" i="1" a="1"/>
  <c r="K1208" i="1" s="1"/>
  <c r="J1208" i="1" a="1"/>
  <c r="J1208" i="1" s="1"/>
  <c r="G1208" i="1" a="1"/>
  <c r="G1208" i="1" s="1"/>
  <c r="I1207" i="1" a="1"/>
  <c r="I1207" i="1" s="1"/>
  <c r="H1199" i="1" a="1"/>
  <c r="H1199" i="1" s="1"/>
  <c r="H1206" i="1" a="1"/>
  <c r="H1206" i="1" s="1"/>
  <c r="F1200" i="1" a="1"/>
  <c r="F1200" i="1" s="1"/>
  <c r="F1206" i="1" a="1"/>
  <c r="F1206" i="1" s="1"/>
  <c r="G1207" i="1" a="1"/>
  <c r="G1207" i="1" s="1"/>
  <c r="K1200" i="1" a="1"/>
  <c r="K1200" i="1" s="1"/>
  <c r="H1200" i="1" a="1"/>
  <c r="H1200" i="1" s="1"/>
  <c r="J1206" i="1" a="1"/>
  <c r="J1206" i="1" s="1"/>
  <c r="J1199" i="1" a="1"/>
  <c r="J1199" i="1" s="1"/>
  <c r="I1206" i="1" a="1"/>
  <c r="I1206" i="1" s="1"/>
  <c r="J1200" i="1" a="1"/>
  <c r="J1200" i="1" s="1"/>
  <c r="I1199" i="1" a="1"/>
  <c r="I1199" i="1" s="1"/>
  <c r="H1208" i="1" a="1"/>
  <c r="H1208" i="1" s="1"/>
  <c r="K1207" i="1" a="1"/>
  <c r="K1207" i="1" s="1"/>
  <c r="H1212" i="1" a="1"/>
  <c r="H1212" i="1" s="1"/>
  <c r="F1210" i="1" a="1"/>
  <c r="F1210" i="1" s="1"/>
  <c r="K1206" i="1" a="1"/>
  <c r="K1206" i="1" s="1"/>
  <c r="J1209" i="1" a="1"/>
  <c r="J1209" i="1" s="1"/>
  <c r="H1207" i="1" a="1"/>
  <c r="H1207" i="1" s="1"/>
  <c r="G1200" i="1" a="1"/>
  <c r="G1200" i="1" s="1"/>
  <c r="H1213" i="1" a="1"/>
  <c r="H1213" i="1" s="1"/>
  <c r="G1213" i="1" a="1"/>
  <c r="G1213" i="1" s="1"/>
  <c r="J1207" i="1" a="1"/>
  <c r="J1207" i="1" s="1"/>
  <c r="F1213" i="1" a="1"/>
  <c r="F1213" i="1" s="1"/>
  <c r="H1210" i="1" a="1"/>
  <c r="H1210" i="1" s="1"/>
  <c r="G1209" i="1" a="1"/>
  <c r="G1209" i="1" s="1"/>
  <c r="F1209" i="1" a="1"/>
  <c r="F1209" i="1" s="1"/>
  <c r="I1200" i="1" a="1"/>
  <c r="I1200" i="1" s="1"/>
  <c r="F1208" i="1" a="1"/>
  <c r="F1208" i="1" s="1"/>
  <c r="K1199" i="1" a="1"/>
  <c r="K1199" i="1" s="1"/>
  <c r="G1210" i="1" a="1"/>
  <c r="G1210" i="1" s="1"/>
  <c r="K1212" i="1" a="1"/>
  <c r="K1212" i="1" s="1"/>
  <c r="I1212" i="1" a="1"/>
  <c r="I1212" i="1" s="1"/>
  <c r="K1197" i="1" a="1"/>
  <c r="K1197" i="1" s="1"/>
  <c r="G1197" i="1" a="1"/>
  <c r="G1197" i="1" s="1"/>
  <c r="K1196" i="1" a="1"/>
  <c r="K1196" i="1" s="1"/>
  <c r="H1190" i="1" a="1"/>
  <c r="H1190" i="1" s="1"/>
  <c r="I1196" i="1" a="1"/>
  <c r="I1196" i="1" s="1"/>
  <c r="G1194" i="1" a="1"/>
  <c r="G1194" i="1" s="1"/>
  <c r="G1190" i="1" a="1"/>
  <c r="G1190" i="1" s="1"/>
  <c r="J1188" i="1" a="1"/>
  <c r="J1188" i="1" s="1"/>
  <c r="H1189" i="1" a="1"/>
  <c r="H1189" i="1" s="1"/>
  <c r="J1193" i="1" a="1"/>
  <c r="J1193" i="1" s="1"/>
  <c r="K1190" i="1" a="1"/>
  <c r="K1190" i="1" s="1"/>
  <c r="G1193" i="1" a="1"/>
  <c r="G1193" i="1" s="1"/>
  <c r="H1196" i="1" a="1"/>
  <c r="H1196" i="1" s="1"/>
  <c r="G1189" i="1" a="1"/>
  <c r="G1189" i="1" s="1"/>
  <c r="G1196" i="1" a="1"/>
  <c r="G1196" i="1" s="1"/>
  <c r="K1195" i="1" a="1"/>
  <c r="K1195" i="1" s="1"/>
  <c r="G1195" i="1" a="1"/>
  <c r="G1195" i="1" s="1"/>
  <c r="I1195" i="1" a="1"/>
  <c r="I1195" i="1" s="1"/>
  <c r="F1195" i="1" a="1"/>
  <c r="F1195" i="1" s="1"/>
  <c r="I1190" i="1" a="1"/>
  <c r="I1190" i="1" s="1"/>
  <c r="H1194" i="1" a="1"/>
  <c r="H1194" i="1" s="1"/>
  <c r="K1194" i="1" a="1"/>
  <c r="K1194" i="1" s="1"/>
  <c r="K1193" i="1" a="1"/>
  <c r="K1193" i="1" s="1"/>
  <c r="I1191" i="1" a="1"/>
  <c r="I1191" i="1" s="1"/>
  <c r="F1192" i="1" a="1"/>
  <c r="F1192" i="1" s="1"/>
  <c r="G1192" i="1" a="1"/>
  <c r="G1192" i="1" s="1"/>
  <c r="H1193" i="1" a="1"/>
  <c r="H1193" i="1" s="1"/>
  <c r="F1193" i="1" a="1"/>
  <c r="F1193" i="1" s="1"/>
  <c r="K1192" i="1" a="1"/>
  <c r="K1192" i="1" s="1"/>
  <c r="J1191" i="1" a="1"/>
  <c r="J1191" i="1" s="1"/>
  <c r="F1189" i="1" a="1"/>
  <c r="F1189" i="1" s="1"/>
  <c r="G1191" i="1" a="1"/>
  <c r="G1191" i="1" s="1"/>
  <c r="G1199" i="1" a="1"/>
  <c r="G1199" i="1" s="1"/>
  <c r="F1191" i="1" a="1"/>
  <c r="F1191" i="1" s="1"/>
  <c r="F1197" i="1" a="1"/>
  <c r="F1197" i="1" s="1"/>
  <c r="H1195" i="1" a="1"/>
  <c r="H1195" i="1" s="1"/>
  <c r="F1199" i="1" a="1"/>
  <c r="F1199" i="1" s="1"/>
  <c r="J1197" i="1" a="1"/>
  <c r="J1197" i="1" s="1"/>
  <c r="K1189" i="1" a="1"/>
  <c r="K1189" i="1" s="1"/>
  <c r="I1194" i="1" a="1"/>
  <c r="I1194" i="1" s="1"/>
  <c r="K1198" i="1" a="1"/>
  <c r="K1198" i="1" s="1"/>
  <c r="H1191" i="1" a="1"/>
  <c r="H1191" i="1" s="1"/>
  <c r="J1198" i="1" a="1"/>
  <c r="J1198" i="1" s="1"/>
  <c r="I1198" i="1" a="1"/>
  <c r="I1198" i="1" s="1"/>
  <c r="I1197" i="1" a="1"/>
  <c r="I1197" i="1" s="1"/>
  <c r="J1194" i="1" a="1"/>
  <c r="J1194" i="1" s="1"/>
  <c r="I1193" i="1" a="1"/>
  <c r="I1193" i="1" s="1"/>
  <c r="J1192" i="1" a="1"/>
  <c r="J1192" i="1" s="1"/>
  <c r="K1191" i="1" a="1"/>
  <c r="K1191" i="1" s="1"/>
  <c r="J1196" i="1" a="1"/>
  <c r="J1196" i="1" s="1"/>
  <c r="J1189" i="1" a="1"/>
  <c r="J1189" i="1" s="1"/>
  <c r="F1196" i="1" a="1"/>
  <c r="F1196" i="1" s="1"/>
  <c r="I1192" i="1" a="1"/>
  <c r="I1192" i="1" s="1"/>
  <c r="I1189" i="1" a="1"/>
  <c r="I1189" i="1" s="1"/>
  <c r="F1194" i="1" a="1"/>
  <c r="F1194" i="1" s="1"/>
  <c r="J1190" i="1" a="1"/>
  <c r="J1190" i="1" s="1"/>
  <c r="F1190" i="1" a="1"/>
  <c r="F1190" i="1" s="1"/>
  <c r="H1197" i="1" a="1"/>
  <c r="H1197" i="1" s="1"/>
  <c r="J1195" i="1" a="1"/>
  <c r="J1195" i="1" s="1"/>
  <c r="H1198" i="1" a="1"/>
  <c r="H1198" i="1" s="1"/>
  <c r="G1198" i="1" a="1"/>
  <c r="G1198" i="1" s="1"/>
  <c r="F1198" i="1" a="1"/>
  <c r="F1198" i="1" s="1"/>
  <c r="H1192" i="1" a="1"/>
  <c r="H1192" i="1" s="1"/>
  <c r="K1188" i="1" a="1"/>
  <c r="K1188" i="1" s="1"/>
  <c r="J1183" i="1" a="1"/>
  <c r="J1183" i="1" s="1"/>
  <c r="F1183" i="1" a="1"/>
  <c r="F1183" i="1" s="1"/>
  <c r="I1177" i="1" a="1"/>
  <c r="I1177" i="1" s="1"/>
  <c r="H1177" i="1" a="1"/>
  <c r="H1177" i="1" s="1"/>
  <c r="J1175" i="1" a="1"/>
  <c r="J1175" i="1" s="1"/>
  <c r="H1176" i="1" a="1"/>
  <c r="H1176" i="1" s="1"/>
  <c r="H1185" i="1" a="1"/>
  <c r="H1185" i="1" s="1"/>
  <c r="F1177" i="1" a="1"/>
  <c r="F1177" i="1" s="1"/>
  <c r="G1176" i="1" a="1"/>
  <c r="G1176" i="1" s="1"/>
  <c r="I1188" i="1" a="1"/>
  <c r="I1188" i="1" s="1"/>
  <c r="H1188" i="1" a="1"/>
  <c r="H1188" i="1" s="1"/>
  <c r="K1187" i="1" a="1"/>
  <c r="K1187" i="1" s="1"/>
  <c r="J1186" i="1" a="1"/>
  <c r="J1186" i="1" s="1"/>
  <c r="K1183" i="1" a="1"/>
  <c r="K1183" i="1" s="1"/>
  <c r="K1177" i="1" a="1"/>
  <c r="K1177" i="1" s="1"/>
  <c r="J1176" i="1" a="1"/>
  <c r="J1176" i="1" s="1"/>
  <c r="H1186" i="1" a="1"/>
  <c r="H1186" i="1" s="1"/>
  <c r="K1184" i="1" a="1"/>
  <c r="K1184" i="1" s="1"/>
  <c r="G1183" i="1" a="1"/>
  <c r="G1183" i="1" s="1"/>
  <c r="K1185" i="1" a="1"/>
  <c r="K1185" i="1" s="1"/>
  <c r="F1176" i="1" a="1"/>
  <c r="F1176" i="1" s="1"/>
  <c r="G1186" i="1" a="1"/>
  <c r="G1186" i="1" s="1"/>
  <c r="G1188" i="1" a="1"/>
  <c r="G1188" i="1" s="1"/>
  <c r="F1188" i="1" a="1"/>
  <c r="F1188" i="1" s="1"/>
  <c r="I1187" i="1" a="1"/>
  <c r="I1187" i="1" s="1"/>
  <c r="J1185" i="1" a="1"/>
  <c r="J1185" i="1" s="1"/>
  <c r="J1187" i="1" a="1"/>
  <c r="J1187" i="1" s="1"/>
  <c r="H1187" i="1" a="1"/>
  <c r="H1187" i="1" s="1"/>
  <c r="K1186" i="1" a="1"/>
  <c r="K1186" i="1" s="1"/>
  <c r="F1186" i="1" a="1"/>
  <c r="F1186" i="1" s="1"/>
  <c r="I1184" i="1" a="1"/>
  <c r="I1184" i="1" s="1"/>
  <c r="F1184" i="1" a="1"/>
  <c r="F1184" i="1" s="1"/>
  <c r="I1176" i="1" a="1"/>
  <c r="I1176" i="1" s="1"/>
  <c r="G1187" i="1" a="1"/>
  <c r="G1187" i="1" s="1"/>
  <c r="F1187" i="1" a="1"/>
  <c r="F1187" i="1" s="1"/>
  <c r="I1186" i="1" a="1"/>
  <c r="I1186" i="1" s="1"/>
  <c r="K1176" i="1" a="1"/>
  <c r="K1176" i="1" s="1"/>
  <c r="I1185" i="1" a="1"/>
  <c r="I1185" i="1" s="1"/>
  <c r="H1184" i="1" a="1"/>
  <c r="H1184" i="1" s="1"/>
  <c r="G1185" i="1" a="1"/>
  <c r="G1185" i="1" s="1"/>
  <c r="I1183" i="1" a="1"/>
  <c r="I1183" i="1" s="1"/>
  <c r="H1183" i="1" a="1"/>
  <c r="H1183" i="1" s="1"/>
  <c r="G1177" i="1" a="1"/>
  <c r="G1177" i="1" s="1"/>
  <c r="J1177" i="1" a="1"/>
  <c r="J1177" i="1" s="1"/>
  <c r="F1185" i="1" a="1"/>
  <c r="F1185" i="1" s="1"/>
  <c r="J1184" i="1" a="1"/>
  <c r="J1184" i="1" s="1"/>
  <c r="G1184" i="1" a="1"/>
  <c r="G1184" i="1" s="1"/>
  <c r="K1175" i="1" a="1"/>
  <c r="K1175" i="1" s="1"/>
  <c r="J1166" i="1" a="1"/>
  <c r="J1166" i="1" s="1"/>
  <c r="I1174" i="1" a="1"/>
  <c r="I1174" i="1" s="1"/>
  <c r="H1174" i="1" a="1"/>
  <c r="H1174" i="1" s="1"/>
  <c r="I1168" i="1" a="1"/>
  <c r="I1168" i="1" s="1"/>
  <c r="J1167" i="1" a="1"/>
  <c r="J1167" i="1" s="1"/>
  <c r="F1172" i="1" a="1"/>
  <c r="F1172" i="1" s="1"/>
  <c r="H1168" i="1" a="1"/>
  <c r="H1168" i="1" s="1"/>
  <c r="I1166" i="1" a="1"/>
  <c r="I1166" i="1" s="1"/>
  <c r="G1165" i="1" a="1"/>
  <c r="G1165" i="1" s="1"/>
  <c r="J1169" i="1" a="1"/>
  <c r="J1169" i="1" s="1"/>
  <c r="G1166" i="1" a="1"/>
  <c r="G1166" i="1" s="1"/>
  <c r="H1170" i="1" a="1"/>
  <c r="H1170" i="1" s="1"/>
  <c r="F1173" i="1" a="1"/>
  <c r="F1173" i="1" s="1"/>
  <c r="F1168" i="1" a="1"/>
  <c r="F1168" i="1" s="1"/>
  <c r="I1172" i="1" a="1"/>
  <c r="I1172" i="1" s="1"/>
  <c r="I1171" i="1" a="1"/>
  <c r="I1171" i="1" s="1"/>
  <c r="G1169" i="1" a="1"/>
  <c r="G1169" i="1" s="1"/>
  <c r="G1174" i="1" a="1"/>
  <c r="G1174" i="1" s="1"/>
  <c r="K1171" i="1" a="1"/>
  <c r="K1171" i="1" s="1"/>
  <c r="J1168" i="1" a="1"/>
  <c r="J1168" i="1" s="1"/>
  <c r="J1173" i="1" a="1"/>
  <c r="J1173" i="1" s="1"/>
  <c r="K1172" i="1" a="1"/>
  <c r="K1172" i="1" s="1"/>
  <c r="G1172" i="1" a="1"/>
  <c r="G1172" i="1" s="1"/>
  <c r="G1167" i="1" a="1"/>
  <c r="G1167" i="1" s="1"/>
  <c r="H1171" i="1" a="1"/>
  <c r="H1171" i="1" s="1"/>
  <c r="I1170" i="1" a="1"/>
  <c r="I1170" i="1" s="1"/>
  <c r="F1169" i="1" a="1"/>
  <c r="F1169" i="1" s="1"/>
  <c r="F1170" i="1" a="1"/>
  <c r="F1170" i="1" s="1"/>
  <c r="F1167" i="1" a="1"/>
  <c r="F1167" i="1" s="1"/>
  <c r="K1166" i="1" a="1"/>
  <c r="K1166" i="1" s="1"/>
  <c r="K1165" i="1" a="1"/>
  <c r="K1165" i="1" s="1"/>
  <c r="H1167" i="1" a="1"/>
  <c r="H1167" i="1" s="1"/>
  <c r="H1169" i="1" a="1"/>
  <c r="H1169" i="1" s="1"/>
  <c r="F1174" i="1" a="1"/>
  <c r="F1174" i="1" s="1"/>
  <c r="J1171" i="1" a="1"/>
  <c r="J1171" i="1" s="1"/>
  <c r="K1167" i="1" a="1"/>
  <c r="K1167" i="1" s="1"/>
  <c r="H1166" i="1" a="1"/>
  <c r="H1166" i="1" s="1"/>
  <c r="J1170" i="1" a="1"/>
  <c r="J1170" i="1"/>
  <c r="F1166" i="1" a="1"/>
  <c r="F1166" i="1" s="1"/>
  <c r="I1175" i="1" a="1"/>
  <c r="I1175" i="1" s="1"/>
  <c r="H1165" i="1" a="1"/>
  <c r="H1165" i="1" s="1"/>
  <c r="I1173" i="1" a="1"/>
  <c r="I1173" i="1" s="1"/>
  <c r="H1175" i="1" a="1"/>
  <c r="H1175" i="1"/>
  <c r="K1168" i="1" a="1"/>
  <c r="K1168" i="1" s="1"/>
  <c r="H1172" i="1" a="1"/>
  <c r="H1172" i="1" s="1"/>
  <c r="I1165" i="1" a="1"/>
  <c r="I1165" i="1" s="1"/>
  <c r="G1170" i="1" a="1"/>
  <c r="G1170" i="1" s="1"/>
  <c r="J1165" i="1" a="1"/>
  <c r="J1165" i="1" s="1"/>
  <c r="G1175" i="1" a="1"/>
  <c r="G1175" i="1"/>
  <c r="F1175" i="1" a="1"/>
  <c r="F1175" i="1" s="1"/>
  <c r="I1167" i="1" a="1"/>
  <c r="I1167" i="1"/>
  <c r="H1173" i="1" a="1"/>
  <c r="H1173" i="1"/>
  <c r="G1171" i="1" a="1"/>
  <c r="G1171" i="1" s="1"/>
  <c r="K1174" i="1" a="1"/>
  <c r="K1174" i="1"/>
  <c r="K1173" i="1" a="1"/>
  <c r="K1173" i="1" s="1"/>
  <c r="J1172" i="1" a="1"/>
  <c r="J1172" i="1" s="1"/>
  <c r="G1168" i="1" a="1"/>
  <c r="G1168" i="1"/>
  <c r="F1171" i="1" a="1"/>
  <c r="F1171" i="1" s="1"/>
  <c r="K1170" i="1" a="1"/>
  <c r="K1170" i="1"/>
  <c r="K1169" i="1" a="1"/>
  <c r="K1169" i="1"/>
  <c r="F1165" i="1" a="1"/>
  <c r="F1165" i="1" s="1"/>
  <c r="I1169" i="1" a="1"/>
  <c r="I1169" i="1" s="1"/>
  <c r="J1174" i="1" a="1"/>
  <c r="J1174" i="1" s="1"/>
  <c r="G1173" i="1" a="1"/>
  <c r="G1173" i="1"/>
  <c r="K1154" i="1" a="1"/>
  <c r="K1154" i="1" s="1"/>
  <c r="J1161" i="1" a="1"/>
  <c r="J1161" i="1" s="1"/>
  <c r="I1161" i="1" a="1"/>
  <c r="I1161" i="1" s="1"/>
  <c r="G1161" i="1" a="1"/>
  <c r="G1161" i="1"/>
  <c r="F1161" i="1" a="1"/>
  <c r="F1161" i="1" s="1"/>
  <c r="K1160" i="1" a="1"/>
  <c r="K1160" i="1" s="1"/>
  <c r="J1160" i="1" a="1"/>
  <c r="J1160" i="1" s="1"/>
  <c r="H1160" i="1" a="1"/>
  <c r="H1160" i="1"/>
  <c r="G1160" i="1" a="1"/>
  <c r="G1160" i="1"/>
  <c r="G1152" i="1" a="1"/>
  <c r="G1152" i="1"/>
  <c r="G1154" i="1" a="1"/>
  <c r="G1154" i="1" s="1"/>
  <c r="J1154" i="1" a="1"/>
  <c r="J1154" i="1" s="1"/>
  <c r="K1153" i="1" a="1"/>
  <c r="K1153" i="1" s="1"/>
  <c r="H1153" i="1" a="1"/>
  <c r="H1153" i="1"/>
  <c r="F1153" i="1" a="1"/>
  <c r="F1153" i="1"/>
  <c r="J1153" i="1" a="1"/>
  <c r="J1153" i="1"/>
  <c r="J1152" i="1" a="1"/>
  <c r="J1152" i="1" s="1"/>
  <c r="K1152" i="1" a="1"/>
  <c r="K1152" i="1" s="1"/>
  <c r="F1152" i="1" a="1"/>
  <c r="F1152" i="1" s="1"/>
  <c r="I1160" i="1" a="1"/>
  <c r="I1160" i="1" s="1"/>
  <c r="G1153" i="1" a="1"/>
  <c r="G1153" i="1"/>
  <c r="H1154" i="1" a="1"/>
  <c r="H1154" i="1" s="1"/>
  <c r="I1152" i="1" a="1"/>
  <c r="I1152" i="1"/>
  <c r="K1151" i="1" a="1"/>
  <c r="K1151" i="1" s="1"/>
  <c r="H1152" i="1" a="1"/>
  <c r="H1152" i="1"/>
  <c r="J1163" i="1" a="1"/>
  <c r="J1163" i="1" s="1"/>
  <c r="K1161" i="1" a="1"/>
  <c r="K1161" i="1"/>
  <c r="K1164" i="1" a="1"/>
  <c r="K1164" i="1"/>
  <c r="J1164" i="1" a="1"/>
  <c r="J1164" i="1" s="1"/>
  <c r="G1163" i="1" a="1"/>
  <c r="G1163" i="1"/>
  <c r="I1164" i="1" a="1"/>
  <c r="I1164" i="1"/>
  <c r="H1164" i="1" a="1"/>
  <c r="H1164" i="1" s="1"/>
  <c r="G1164" i="1" a="1"/>
  <c r="G1164" i="1"/>
  <c r="K1162" i="1" a="1"/>
  <c r="K1162" i="1" s="1"/>
  <c r="J1151" i="1" a="1"/>
  <c r="J1151" i="1"/>
  <c r="I1153" i="1" a="1"/>
  <c r="I1153" i="1" s="1"/>
  <c r="F1164" i="1" a="1"/>
  <c r="F1164" i="1"/>
  <c r="K1163" i="1" a="1"/>
  <c r="K1163" i="1" s="1"/>
  <c r="I1163" i="1" a="1"/>
  <c r="I1163" i="1"/>
  <c r="H1163" i="1" a="1"/>
  <c r="H1163" i="1" s="1"/>
  <c r="F1163" i="1" a="1"/>
  <c r="F1163" i="1" s="1"/>
  <c r="J1162" i="1" a="1"/>
  <c r="J1162" i="1" s="1"/>
  <c r="I1162" i="1" a="1"/>
  <c r="I1162" i="1" s="1"/>
  <c r="H1162" i="1" a="1"/>
  <c r="H1162" i="1"/>
  <c r="G1162" i="1" a="1"/>
  <c r="G1162" i="1" s="1"/>
  <c r="I1154" i="1" a="1"/>
  <c r="I1154" i="1"/>
  <c r="F1160" i="1" a="1"/>
  <c r="F1160" i="1" s="1"/>
  <c r="F1162" i="1" a="1"/>
  <c r="F1162" i="1"/>
  <c r="F1154" i="1" a="1"/>
  <c r="F1154" i="1"/>
  <c r="H1161" i="1" a="1"/>
  <c r="H1161" i="1"/>
  <c r="F1141" i="1" a="1"/>
  <c r="F1141" i="1"/>
  <c r="F1140" i="1" a="1"/>
  <c r="F1140" i="1" s="1"/>
  <c r="H1142" i="1" a="1"/>
  <c r="H1142" i="1"/>
  <c r="G1144" i="1" a="1"/>
  <c r="G1144" i="1" s="1"/>
  <c r="K1142" i="1" a="1"/>
  <c r="K1142" i="1" s="1"/>
  <c r="K1140" i="1" a="1"/>
  <c r="K1140" i="1"/>
  <c r="K1139" i="1" a="1"/>
  <c r="K1139" i="1" s="1"/>
  <c r="K1141" i="1" a="1"/>
  <c r="K1141" i="1" s="1"/>
  <c r="I1140" i="1" a="1"/>
  <c r="I1140" i="1" s="1"/>
  <c r="I1139" i="1" a="1"/>
  <c r="I1139" i="1" s="1"/>
  <c r="I1147" i="1" a="1"/>
  <c r="I1147" i="1" s="1"/>
  <c r="F1147" i="1" a="1"/>
  <c r="F1147" i="1" s="1"/>
  <c r="F1146" i="1" a="1"/>
  <c r="F1146" i="1" s="1"/>
  <c r="F1144" i="1" a="1"/>
  <c r="F1144" i="1"/>
  <c r="F1145" i="1" a="1"/>
  <c r="F1145" i="1" s="1"/>
  <c r="H1151" i="1" a="1"/>
  <c r="H1151" i="1" s="1"/>
  <c r="J1145" i="1" a="1"/>
  <c r="J1145" i="1"/>
  <c r="J1143" i="1" a="1"/>
  <c r="J1143" i="1"/>
  <c r="J1147" i="1" a="1"/>
  <c r="J1147" i="1" s="1"/>
  <c r="G1145" i="1" a="1"/>
  <c r="G1145" i="1"/>
  <c r="I1142" i="1" a="1"/>
  <c r="I1142" i="1"/>
  <c r="G1141" i="1" a="1"/>
  <c r="G1141" i="1"/>
  <c r="G1140" i="1" a="1"/>
  <c r="G1140" i="1" s="1"/>
  <c r="H1144" i="1" a="1"/>
  <c r="H1144" i="1" s="1"/>
  <c r="J1144" i="1" a="1"/>
  <c r="J1144" i="1"/>
  <c r="H1141" i="1" a="1"/>
  <c r="H1141" i="1" s="1"/>
  <c r="G1151" i="1" a="1"/>
  <c r="G1151" i="1" s="1"/>
  <c r="I1143" i="1" a="1"/>
  <c r="I1143" i="1" s="1"/>
  <c r="I1145" i="1" a="1"/>
  <c r="I1145" i="1" s="1"/>
  <c r="J1146" i="1" a="1"/>
  <c r="J1146" i="1" s="1"/>
  <c r="F1148" i="1" a="1"/>
  <c r="F1148" i="1" s="1"/>
  <c r="G1147" i="1" a="1"/>
  <c r="G1147" i="1"/>
  <c r="G1146" i="1" a="1"/>
  <c r="G1146" i="1" s="1"/>
  <c r="J1140" i="1" a="1"/>
  <c r="J1140" i="1" s="1"/>
  <c r="J1139" i="1" a="1"/>
  <c r="J1139" i="1"/>
  <c r="J1142" i="1" a="1"/>
  <c r="J1142" i="1" s="1"/>
  <c r="H1140" i="1" a="1"/>
  <c r="H1140" i="1"/>
  <c r="I1151" i="1" a="1"/>
  <c r="I1151" i="1" s="1"/>
  <c r="F1151" i="1" a="1"/>
  <c r="F1151" i="1"/>
  <c r="K1147" i="1" a="1"/>
  <c r="K1147" i="1" s="1"/>
  <c r="H1146" i="1" a="1"/>
  <c r="H1146" i="1"/>
  <c r="K1144" i="1" a="1"/>
  <c r="K1144" i="1"/>
  <c r="H1143" i="1" a="1"/>
  <c r="H1143" i="1"/>
  <c r="G1142" i="1" a="1"/>
  <c r="G1142" i="1" s="1"/>
  <c r="F1143" i="1" a="1"/>
  <c r="F1143" i="1" s="1"/>
  <c r="K1146" i="1" a="1"/>
  <c r="K1146" i="1" s="1"/>
  <c r="I1146" i="1" a="1"/>
  <c r="I1146" i="1" s="1"/>
  <c r="K1143" i="1" a="1"/>
  <c r="K1143" i="1" s="1"/>
  <c r="G1143" i="1" a="1"/>
  <c r="G1143" i="1" s="1"/>
  <c r="F1142" i="1" a="1"/>
  <c r="F1142" i="1" s="1"/>
  <c r="K1148" i="1" a="1"/>
  <c r="K1148" i="1" s="1"/>
  <c r="J1141" i="1" a="1"/>
  <c r="J1141" i="1" s="1"/>
  <c r="I1141" i="1" a="1"/>
  <c r="I1141" i="1" s="1"/>
  <c r="I1148" i="1" a="1"/>
  <c r="I1148" i="1"/>
  <c r="J1148" i="1" a="1"/>
  <c r="J1148" i="1" s="1"/>
  <c r="I1144" i="1" a="1"/>
  <c r="I1144" i="1" s="1"/>
  <c r="H1148" i="1" a="1"/>
  <c r="H1148" i="1" s="1"/>
  <c r="G1148" i="1" a="1"/>
  <c r="G1148" i="1"/>
  <c r="H1147" i="1" a="1"/>
  <c r="H1147" i="1"/>
  <c r="K1145" i="1" a="1"/>
  <c r="K1145" i="1"/>
  <c r="H1145" i="1" a="1"/>
  <c r="H1145" i="1" s="1"/>
  <c r="H1138" i="1" a="1"/>
  <c r="H1138" i="1"/>
  <c r="H1137" i="1" a="1"/>
  <c r="H1137" i="1"/>
  <c r="G1136" i="1" a="1"/>
  <c r="G1136" i="1"/>
  <c r="F1138" i="1" a="1"/>
  <c r="F1138" i="1" s="1"/>
  <c r="K1137" i="1" a="1"/>
  <c r="K1137" i="1" s="1"/>
  <c r="I1137" i="1" a="1"/>
  <c r="I1137" i="1"/>
  <c r="J1136" i="1" a="1"/>
  <c r="J1136" i="1" s="1"/>
  <c r="H1136" i="1" a="1"/>
  <c r="H1136" i="1" s="1"/>
  <c r="F1137" i="1" a="1"/>
  <c r="F1137" i="1"/>
  <c r="H1139" i="1" a="1"/>
  <c r="H1139" i="1"/>
  <c r="G1138" i="1" a="1"/>
  <c r="G1138" i="1" s="1"/>
  <c r="J1137" i="1" a="1"/>
  <c r="J1137" i="1" s="1"/>
  <c r="I1136" i="1" a="1"/>
  <c r="I1136" i="1" s="1"/>
  <c r="G1139" i="1" a="1"/>
  <c r="G1139" i="1" s="1"/>
  <c r="F1139" i="1" a="1"/>
  <c r="F1139" i="1" s="1"/>
  <c r="K1138" i="1" a="1"/>
  <c r="K1138" i="1" s="1"/>
  <c r="J1138" i="1" a="1"/>
  <c r="J1138" i="1" s="1"/>
  <c r="G1137" i="1" a="1"/>
  <c r="G1137" i="1" s="1"/>
  <c r="F1136" i="1" a="1"/>
  <c r="F1136" i="1"/>
  <c r="I1138" i="1" a="1"/>
  <c r="I1138" i="1" s="1"/>
  <c r="K1136" i="1" a="1"/>
  <c r="K1136" i="1" s="1"/>
  <c r="I1527" i="1" a="1"/>
  <c r="I1527" i="1" s="1"/>
  <c r="F1528" i="1" a="1"/>
  <c r="F1528" i="1"/>
  <c r="H1525" i="1" a="1"/>
  <c r="H1525" i="1"/>
  <c r="G1525" i="1" a="1"/>
  <c r="G1525" i="1" s="1"/>
  <c r="G1527" i="1" a="1"/>
  <c r="G1527" i="1"/>
  <c r="F1525" i="1" a="1"/>
  <c r="F1525" i="1"/>
  <c r="H1547" i="1" a="1"/>
  <c r="H1547" i="1"/>
  <c r="J1529" i="1" a="1"/>
  <c r="J1529" i="1" s="1"/>
  <c r="H1526" i="1" a="1"/>
  <c r="H1526" i="1" s="1"/>
  <c r="K1525" i="1" a="1"/>
  <c r="K1525" i="1"/>
  <c r="J1527" i="1" a="1"/>
  <c r="J1527" i="1"/>
  <c r="J1549" i="1" a="1"/>
  <c r="J1549" i="1" s="1"/>
  <c r="G1549" i="1" a="1"/>
  <c r="G1549" i="1" s="1"/>
  <c r="J1525" i="1" a="1"/>
  <c r="J1525" i="1" s="1"/>
  <c r="I1546" i="1" a="1"/>
  <c r="I1546" i="1"/>
  <c r="H1546" i="1" a="1"/>
  <c r="H1546" i="1" s="1"/>
  <c r="J1528" i="1" a="1"/>
  <c r="J1528" i="1" s="1"/>
  <c r="K1526" i="1" a="1"/>
  <c r="K1526" i="1" s="1"/>
  <c r="I1547" i="1" a="1"/>
  <c r="I1547" i="1" s="1"/>
  <c r="F1527" i="1" a="1"/>
  <c r="F1527" i="1"/>
  <c r="K1546" i="1" a="1"/>
  <c r="K1546" i="1" s="1"/>
  <c r="H1528" i="1" a="1"/>
  <c r="H1528" i="1" s="1"/>
  <c r="G1526" i="1" a="1"/>
  <c r="G1526" i="1" s="1"/>
  <c r="K1527" i="1" a="1"/>
  <c r="K1527" i="1" s="1"/>
  <c r="I1526" i="1" a="1"/>
  <c r="I1526" i="1" s="1"/>
  <c r="K1549" i="1" a="1"/>
  <c r="K1549" i="1" s="1"/>
  <c r="K1547" i="1" a="1"/>
  <c r="K1547" i="1"/>
  <c r="H1527" i="1" a="1"/>
  <c r="H1527" i="1"/>
  <c r="F1549" i="1" a="1"/>
  <c r="F1549" i="1"/>
  <c r="G1529" i="1" a="1"/>
  <c r="G1529" i="1" s="1"/>
  <c r="F1546" i="1" a="1"/>
  <c r="F1546" i="1" s="1"/>
  <c r="I1528" i="1" a="1"/>
  <c r="I1528" i="1"/>
  <c r="G1528" i="1" a="1"/>
  <c r="G1528" i="1"/>
  <c r="I1525" i="1" a="1"/>
  <c r="I1525" i="1" s="1"/>
  <c r="G1546" i="1" a="1"/>
  <c r="G1546" i="1"/>
  <c r="J1526" i="1" a="1"/>
  <c r="J1526" i="1"/>
  <c r="F1526" i="1" a="1"/>
  <c r="F1526" i="1" s="1"/>
  <c r="F1529" i="1" a="1"/>
  <c r="F1529" i="1" s="1"/>
  <c r="I1549" i="1" a="1"/>
  <c r="I1549" i="1" s="1"/>
  <c r="H1549" i="1" a="1"/>
  <c r="H1549" i="1" s="1"/>
  <c r="J1547" i="1" a="1"/>
  <c r="J1547" i="1"/>
  <c r="G1547" i="1" a="1"/>
  <c r="G1547" i="1" s="1"/>
  <c r="F1547" i="1" a="1"/>
  <c r="F1547" i="1" s="1"/>
  <c r="J1546" i="1" a="1"/>
  <c r="J1546" i="1" s="1"/>
  <c r="K1529" i="1" a="1"/>
  <c r="K1529" i="1" s="1"/>
  <c r="H1529" i="1" a="1"/>
  <c r="H1529" i="1"/>
  <c r="K1524" i="1" a="1"/>
  <c r="K1524" i="1"/>
  <c r="I1529" i="1" a="1"/>
  <c r="I1529" i="1" s="1"/>
  <c r="K1528" i="1" a="1"/>
  <c r="K1528" i="1" s="1"/>
  <c r="K1080" i="1"/>
  <c r="J1080" i="1"/>
  <c r="I1080" i="1"/>
  <c r="H1080" i="1"/>
  <c r="G1080" i="1"/>
  <c r="F1080" i="1"/>
  <c r="K1079" i="1"/>
  <c r="K1105" i="1" s="1"/>
  <c r="J1079" i="1"/>
  <c r="J1105" i="1" s="1"/>
  <c r="I1079" i="1"/>
  <c r="I1105" i="1" s="1"/>
  <c r="H1079" i="1"/>
  <c r="H1105" i="1" s="1"/>
  <c r="G1079" i="1"/>
  <c r="G1105" i="1" s="1"/>
  <c r="F1079" i="1"/>
  <c r="F1105" i="1" s="1"/>
  <c r="K1078" i="1"/>
  <c r="K1104" i="1" s="1"/>
  <c r="J1078" i="1"/>
  <c r="J1104" i="1" s="1"/>
  <c r="I1078" i="1"/>
  <c r="I1104" i="1" s="1"/>
  <c r="H1078" i="1"/>
  <c r="H1104" i="1" s="1"/>
  <c r="G1078" i="1"/>
  <c r="G1104" i="1" s="1"/>
  <c r="F1078" i="1"/>
  <c r="F1104" i="1" s="1"/>
  <c r="K1076" i="1"/>
  <c r="K1102" i="1" s="1"/>
  <c r="J1076" i="1"/>
  <c r="J1102" i="1" s="1"/>
  <c r="I1076" i="1"/>
  <c r="I1102" i="1" s="1"/>
  <c r="H1076" i="1"/>
  <c r="H1102" i="1" s="1"/>
  <c r="G1076" i="1"/>
  <c r="G1102" i="1" s="1"/>
  <c r="F1076" i="1"/>
  <c r="F1102" i="1" s="1"/>
  <c r="K1074" i="1"/>
  <c r="K1100" i="1" s="1"/>
  <c r="J1074" i="1"/>
  <c r="J1100" i="1" s="1"/>
  <c r="I1074" i="1"/>
  <c r="I1100" i="1" s="1"/>
  <c r="H1074" i="1"/>
  <c r="H1100" i="1" s="1"/>
  <c r="G1074" i="1"/>
  <c r="G1100" i="1" s="1"/>
  <c r="F1074" i="1"/>
  <c r="F1100" i="1" s="1"/>
  <c r="K1072" i="1"/>
  <c r="K1098" i="1" s="1"/>
  <c r="J1072" i="1"/>
  <c r="J1098" i="1" s="1"/>
  <c r="I1072" i="1"/>
  <c r="I1098" i="1" s="1"/>
  <c r="H1072" i="1"/>
  <c r="H1098" i="1" s="1"/>
  <c r="G1072" i="1"/>
  <c r="G1098" i="1" s="1"/>
  <c r="F1072" i="1"/>
  <c r="F1098" i="1" s="1"/>
  <c r="K1066" i="1"/>
  <c r="K1092" i="1" s="1"/>
  <c r="J1066" i="1"/>
  <c r="J1092" i="1" s="1"/>
  <c r="I1066" i="1"/>
  <c r="I1092" i="1" s="1"/>
  <c r="H1066" i="1"/>
  <c r="H1092" i="1" s="1"/>
  <c r="G1066" i="1"/>
  <c r="G1092" i="1" s="1"/>
  <c r="F1066" i="1"/>
  <c r="F1092" i="1" s="1"/>
  <c r="K1065" i="1"/>
  <c r="J1065" i="1"/>
  <c r="I1065" i="1"/>
  <c r="H1065" i="1"/>
  <c r="G1065" i="1"/>
  <c r="F1065" i="1"/>
  <c r="K1064" i="1"/>
  <c r="J1064" i="1"/>
  <c r="I1064" i="1"/>
  <c r="H1064" i="1"/>
  <c r="G1064" i="1"/>
  <c r="F1064" i="1"/>
  <c r="K1062" i="1"/>
  <c r="K1088" i="1" s="1"/>
  <c r="J1062" i="1"/>
  <c r="J1088" i="1" s="1"/>
  <c r="I1062" i="1"/>
  <c r="I1088" i="1" s="1"/>
  <c r="H1062" i="1"/>
  <c r="H1088" i="1" s="1"/>
  <c r="G1062" i="1"/>
  <c r="G1088" i="1" s="1"/>
  <c r="F1062" i="1"/>
  <c r="F1088" i="1" s="1"/>
  <c r="K1061" i="1"/>
  <c r="K1087" i="1" s="1"/>
  <c r="J1061" i="1"/>
  <c r="J1087" i="1" s="1"/>
  <c r="I1061" i="1"/>
  <c r="I1087" i="1" s="1"/>
  <c r="H1061" i="1"/>
  <c r="H1087" i="1" s="1"/>
  <c r="G1061" i="1"/>
  <c r="G1087" i="1" s="1"/>
  <c r="F1061" i="1"/>
  <c r="F1087" i="1" s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F1085" i="1" s="1"/>
  <c r="K1057" i="1"/>
  <c r="K1083" i="1" s="1"/>
  <c r="J1057" i="1"/>
  <c r="J1083" i="1" s="1"/>
  <c r="I1057" i="1"/>
  <c r="I1083" i="1" s="1"/>
  <c r="H1057" i="1"/>
  <c r="H1083" i="1" s="1"/>
  <c r="G1057" i="1"/>
  <c r="G1083" i="1" s="1"/>
  <c r="F1057" i="1"/>
  <c r="F1083" i="1" s="1"/>
  <c r="K1056" i="1"/>
  <c r="K1082" i="1" s="1"/>
  <c r="J1056" i="1"/>
  <c r="J1082" i="1" s="1"/>
  <c r="I1056" i="1"/>
  <c r="I1082" i="1" s="1"/>
  <c r="H1056" i="1"/>
  <c r="H1082" i="1" s="1"/>
  <c r="G1056" i="1"/>
  <c r="G1082" i="1" s="1"/>
  <c r="F1056" i="1"/>
  <c r="F1082" i="1" s="1"/>
  <c r="K1054" i="1"/>
  <c r="J1054" i="1"/>
  <c r="I1054" i="1"/>
  <c r="H1054" i="1"/>
  <c r="G1054" i="1"/>
  <c r="F1054" i="1"/>
  <c r="K1053" i="1"/>
  <c r="J1053" i="1"/>
  <c r="I1053" i="1"/>
  <c r="H1053" i="1"/>
  <c r="G1053" i="1"/>
  <c r="F1053" i="1"/>
  <c r="K1046" i="1"/>
  <c r="J1046" i="1"/>
  <c r="I1046" i="1"/>
  <c r="H1046" i="1"/>
  <c r="G1046" i="1"/>
  <c r="F1046" i="1"/>
  <c r="K1040" i="1"/>
  <c r="J1040" i="1"/>
  <c r="I1040" i="1"/>
  <c r="H1040" i="1"/>
  <c r="G1040" i="1"/>
  <c r="F1040" i="1"/>
  <c r="K1033" i="1"/>
  <c r="J1033" i="1"/>
  <c r="I1033" i="1"/>
  <c r="H1033" i="1"/>
  <c r="G1033" i="1"/>
  <c r="F1033" i="1"/>
  <c r="K1028" i="1"/>
  <c r="J1028" i="1"/>
  <c r="I1028" i="1"/>
  <c r="H1028" i="1"/>
  <c r="G1028" i="1"/>
  <c r="F1028" i="1"/>
  <c r="K1013" i="1"/>
  <c r="J1013" i="1"/>
  <c r="I1013" i="1"/>
  <c r="H1013" i="1"/>
  <c r="G1013" i="1"/>
  <c r="F1013" i="1"/>
  <c r="K994" i="1"/>
  <c r="J994" i="1"/>
  <c r="I994" i="1"/>
  <c r="H994" i="1"/>
  <c r="G994" i="1"/>
  <c r="F994" i="1"/>
  <c r="K993" i="1"/>
  <c r="J993" i="1"/>
  <c r="I993" i="1"/>
  <c r="H993" i="1"/>
  <c r="G993" i="1"/>
  <c r="F993" i="1"/>
  <c r="K981" i="1"/>
  <c r="J981" i="1"/>
  <c r="I981" i="1"/>
  <c r="H981" i="1"/>
  <c r="G981" i="1"/>
  <c r="F981" i="1"/>
  <c r="K980" i="1"/>
  <c r="J980" i="1"/>
  <c r="I980" i="1"/>
  <c r="H980" i="1"/>
  <c r="G980" i="1"/>
  <c r="F980" i="1"/>
  <c r="K979" i="1"/>
  <c r="J979" i="1"/>
  <c r="I979" i="1"/>
  <c r="H979" i="1"/>
  <c r="G979" i="1"/>
  <c r="F979" i="1"/>
  <c r="K978" i="1"/>
  <c r="J978" i="1"/>
  <c r="I978" i="1"/>
  <c r="H978" i="1"/>
  <c r="G978" i="1"/>
  <c r="F978" i="1"/>
  <c r="K971" i="1"/>
  <c r="J971" i="1"/>
  <c r="I971" i="1"/>
  <c r="H971" i="1"/>
  <c r="G971" i="1"/>
  <c r="F971" i="1"/>
  <c r="K970" i="1"/>
  <c r="J970" i="1"/>
  <c r="I970" i="1"/>
  <c r="H970" i="1"/>
  <c r="G970" i="1"/>
  <c r="F970" i="1"/>
  <c r="K951" i="1"/>
  <c r="J951" i="1"/>
  <c r="I951" i="1"/>
  <c r="H951" i="1"/>
  <c r="G951" i="1"/>
  <c r="F951" i="1"/>
  <c r="K950" i="1"/>
  <c r="J950" i="1"/>
  <c r="I950" i="1"/>
  <c r="H950" i="1"/>
  <c r="G950" i="1"/>
  <c r="F950" i="1"/>
  <c r="K948" i="1"/>
  <c r="J948" i="1"/>
  <c r="I948" i="1"/>
  <c r="H948" i="1"/>
  <c r="G948" i="1"/>
  <c r="F948" i="1"/>
  <c r="K946" i="1"/>
  <c r="J946" i="1"/>
  <c r="I946" i="1"/>
  <c r="H946" i="1"/>
  <c r="G946" i="1"/>
  <c r="F946" i="1"/>
  <c r="K944" i="1"/>
  <c r="J944" i="1"/>
  <c r="I944" i="1"/>
  <c r="H944" i="1"/>
  <c r="G944" i="1"/>
  <c r="F944" i="1"/>
  <c r="K942" i="1"/>
  <c r="J942" i="1"/>
  <c r="I942" i="1"/>
  <c r="H942" i="1"/>
  <c r="G942" i="1"/>
  <c r="F942" i="1"/>
  <c r="K936" i="1"/>
  <c r="J936" i="1"/>
  <c r="I936" i="1"/>
  <c r="H936" i="1"/>
  <c r="G936" i="1"/>
  <c r="F936" i="1"/>
  <c r="K934" i="1"/>
  <c r="J934" i="1"/>
  <c r="I934" i="1"/>
  <c r="H934" i="1"/>
  <c r="G934" i="1"/>
  <c r="F934" i="1"/>
  <c r="K933" i="1"/>
  <c r="J933" i="1"/>
  <c r="I933" i="1"/>
  <c r="H933" i="1"/>
  <c r="G933" i="1"/>
  <c r="F933" i="1"/>
  <c r="K932" i="1"/>
  <c r="J932" i="1"/>
  <c r="I932" i="1"/>
  <c r="H932" i="1"/>
  <c r="G932" i="1"/>
  <c r="F932" i="1"/>
  <c r="K930" i="1"/>
  <c r="J930" i="1"/>
  <c r="I930" i="1"/>
  <c r="H930" i="1"/>
  <c r="G930" i="1"/>
  <c r="F930" i="1"/>
  <c r="K928" i="1"/>
  <c r="J928" i="1"/>
  <c r="I928" i="1"/>
  <c r="H928" i="1"/>
  <c r="G928" i="1"/>
  <c r="F928" i="1"/>
  <c r="K927" i="1"/>
  <c r="J927" i="1"/>
  <c r="I927" i="1"/>
  <c r="H927" i="1"/>
  <c r="G927" i="1"/>
  <c r="F927" i="1"/>
  <c r="K924" i="1"/>
  <c r="J924" i="1"/>
  <c r="I924" i="1"/>
  <c r="H924" i="1"/>
  <c r="G924" i="1"/>
  <c r="F924" i="1"/>
  <c r="K920" i="1"/>
  <c r="J920" i="1"/>
  <c r="I920" i="1"/>
  <c r="H920" i="1"/>
  <c r="G920" i="1"/>
  <c r="F920" i="1"/>
  <c r="K917" i="1"/>
  <c r="J917" i="1"/>
  <c r="I917" i="1"/>
  <c r="H917" i="1"/>
  <c r="G917" i="1"/>
  <c r="F917" i="1"/>
  <c r="K916" i="1"/>
  <c r="J916" i="1"/>
  <c r="I916" i="1"/>
  <c r="H916" i="1"/>
  <c r="G916" i="1"/>
  <c r="F916" i="1"/>
  <c r="K904" i="1"/>
  <c r="J904" i="1"/>
  <c r="I904" i="1"/>
  <c r="H904" i="1"/>
  <c r="G904" i="1"/>
  <c r="F904" i="1"/>
  <c r="K903" i="1"/>
  <c r="J903" i="1"/>
  <c r="I903" i="1"/>
  <c r="H903" i="1"/>
  <c r="G903" i="1"/>
  <c r="F903" i="1"/>
  <c r="K902" i="1"/>
  <c r="K899" i="1" s="1"/>
  <c r="J902" i="1"/>
  <c r="I902" i="1"/>
  <c r="H902" i="1"/>
  <c r="H899" i="1" s="1"/>
  <c r="G902" i="1"/>
  <c r="F902" i="1"/>
  <c r="F899" i="1" s="1"/>
  <c r="J899" i="1"/>
  <c r="I899" i="1"/>
  <c r="G899" i="1"/>
  <c r="K896" i="1"/>
  <c r="J896" i="1"/>
  <c r="I896" i="1"/>
  <c r="H896" i="1"/>
  <c r="G896" i="1"/>
  <c r="F896" i="1"/>
  <c r="K895" i="1"/>
  <c r="J895" i="1"/>
  <c r="I895" i="1"/>
  <c r="H895" i="1"/>
  <c r="G895" i="1"/>
  <c r="F895" i="1"/>
  <c r="K893" i="1"/>
  <c r="J893" i="1"/>
  <c r="I893" i="1"/>
  <c r="H893" i="1"/>
  <c r="G893" i="1"/>
  <c r="K891" i="1"/>
  <c r="J891" i="1"/>
  <c r="I891" i="1"/>
  <c r="H891" i="1"/>
  <c r="G891" i="1"/>
  <c r="F891" i="1"/>
  <c r="K888" i="1"/>
  <c r="J888" i="1"/>
  <c r="I888" i="1"/>
  <c r="H888" i="1"/>
  <c r="G888" i="1"/>
  <c r="F888" i="1"/>
  <c r="K884" i="1"/>
  <c r="J884" i="1"/>
  <c r="I884" i="1"/>
  <c r="H884" i="1"/>
  <c r="G884" i="1"/>
  <c r="F884" i="1"/>
  <c r="K881" i="1"/>
  <c r="J881" i="1"/>
  <c r="I881" i="1"/>
  <c r="H881" i="1"/>
  <c r="G881" i="1"/>
  <c r="F881" i="1"/>
  <c r="J1897" i="1" a="1"/>
  <c r="J1897" i="1" s="1"/>
  <c r="I1897" i="1" a="1"/>
  <c r="I1897" i="1" s="1"/>
  <c r="G1897" i="1" a="1"/>
  <c r="G1897" i="1" s="1"/>
  <c r="J1895" i="1" a="1"/>
  <c r="J1895" i="1" s="1"/>
  <c r="I1889" i="1" a="1"/>
  <c r="I1889" i="1" s="1"/>
  <c r="J1893" i="1" a="1"/>
  <c r="J1893" i="1" s="1"/>
  <c r="J1889" i="1" a="1"/>
  <c r="J1889" i="1"/>
  <c r="H1889" i="1" a="1"/>
  <c r="H1889" i="1" s="1"/>
  <c r="G1889" i="1" a="1"/>
  <c r="G1889" i="1" s="1"/>
  <c r="K1893" i="1" a="1"/>
  <c r="K1893" i="1" s="1"/>
  <c r="G1893" i="1" a="1"/>
  <c r="G1893" i="1" s="1"/>
  <c r="J1891" i="1" a="1"/>
  <c r="J1891" i="1" s="1"/>
  <c r="G1895" i="1" a="1"/>
  <c r="G1895" i="1" s="1"/>
  <c r="F1891" i="1" a="1"/>
  <c r="F1891" i="1" s="1"/>
  <c r="G1891" i="1" a="1"/>
  <c r="G1891" i="1"/>
  <c r="H1897" i="1" a="1"/>
  <c r="H1897" i="1"/>
  <c r="K1895" i="1" a="1"/>
  <c r="K1895" i="1" s="1"/>
  <c r="F1895" i="1" a="1"/>
  <c r="F1895" i="1" s="1"/>
  <c r="K1891" i="1" a="1"/>
  <c r="K1891" i="1" s="1"/>
  <c r="H1893" i="1" a="1"/>
  <c r="H1893" i="1" s="1"/>
  <c r="F1889" i="1" a="1"/>
  <c r="F1889" i="1" s="1"/>
  <c r="F1893" i="1" a="1"/>
  <c r="F1893" i="1" s="1"/>
  <c r="H1891" i="1" a="1"/>
  <c r="H1891" i="1" s="1"/>
  <c r="K1897" i="1" a="1"/>
  <c r="K1897" i="1" s="1"/>
  <c r="F1897" i="1" a="1"/>
  <c r="F1897" i="1" s="1"/>
  <c r="K1889" i="1" a="1"/>
  <c r="K1889" i="1" s="1"/>
  <c r="I1895" i="1" a="1"/>
  <c r="I1895" i="1" s="1"/>
  <c r="H1895" i="1" a="1"/>
  <c r="H1895" i="1" s="1"/>
  <c r="I1893" i="1" a="1"/>
  <c r="I1893" i="1" s="1"/>
  <c r="I1891" i="1" a="1"/>
  <c r="I1891" i="1" s="1"/>
  <c r="I1877" i="1" a="1"/>
  <c r="I1877" i="1" s="1"/>
  <c r="F1885" i="1" a="1"/>
  <c r="F1885" i="1" s="1"/>
  <c r="G1885" i="1" a="1"/>
  <c r="G1885" i="1" s="1"/>
  <c r="G1879" i="1" a="1"/>
  <c r="G1879" i="1" s="1"/>
  <c r="J1885" i="1" a="1"/>
  <c r="J1885" i="1" s="1"/>
  <c r="H1883" i="1" a="1"/>
  <c r="H1883" i="1" s="1"/>
  <c r="F1888" i="1" a="1"/>
  <c r="F1888" i="1" s="1"/>
  <c r="K1887" i="1" a="1"/>
  <c r="K1887" i="1" s="1"/>
  <c r="I1883" i="1" a="1"/>
  <c r="I1883" i="1" s="1"/>
  <c r="J1882" i="1" a="1"/>
  <c r="J1882" i="1" s="1"/>
  <c r="F1877" i="1" a="1"/>
  <c r="F1877" i="1" s="1"/>
  <c r="H1885" i="1" a="1"/>
  <c r="H1885" i="1" s="1"/>
  <c r="G1888" i="1" a="1"/>
  <c r="G1888" i="1" s="1"/>
  <c r="F1887" i="1" a="1"/>
  <c r="F1887" i="1" s="1"/>
  <c r="I1885" i="1" a="1"/>
  <c r="I1885" i="1" s="1"/>
  <c r="G1882" i="1" a="1"/>
  <c r="G1882" i="1" s="1"/>
  <c r="J1879" i="1" a="1"/>
  <c r="J1879" i="1" s="1"/>
  <c r="K1877" i="1" a="1"/>
  <c r="K1877" i="1" s="1"/>
  <c r="J1877" i="1" a="1"/>
  <c r="J1877" i="1" s="1"/>
  <c r="K1875" i="1" a="1"/>
  <c r="K1875" i="1" s="1"/>
  <c r="K1883" i="1" a="1"/>
  <c r="K1883" i="1" s="1"/>
  <c r="F1879" i="1" a="1"/>
  <c r="F1879" i="1" s="1"/>
  <c r="K1879" i="1" a="1"/>
  <c r="K1879" i="1" s="1"/>
  <c r="K1882" i="1" a="1"/>
  <c r="K1882" i="1" s="1"/>
  <c r="I1879" i="1" a="1"/>
  <c r="I1879" i="1" s="1"/>
  <c r="K1885" i="1" a="1"/>
  <c r="K1885" i="1" s="1"/>
  <c r="G1883" i="1" a="1"/>
  <c r="G1883" i="1" s="1"/>
  <c r="G1877" i="1" a="1"/>
  <c r="G1877" i="1" s="1"/>
  <c r="J1875" i="1" a="1"/>
  <c r="J1875" i="1" s="1"/>
  <c r="F1883" i="1" a="1"/>
  <c r="F1883" i="1" s="1"/>
  <c r="H1877" i="1" a="1"/>
  <c r="H1877" i="1" s="1"/>
  <c r="I1875" i="1" a="1"/>
  <c r="I1875" i="1" s="1"/>
  <c r="I1887" i="1" a="1"/>
  <c r="I1887" i="1" s="1"/>
  <c r="H1879" i="1" a="1"/>
  <c r="H1879" i="1" s="1"/>
  <c r="H1887" i="1" a="1"/>
  <c r="H1887" i="1" s="1"/>
  <c r="F1875" i="1" a="1"/>
  <c r="F1875" i="1" s="1"/>
  <c r="K1888" i="1" a="1"/>
  <c r="K1888" i="1" s="1"/>
  <c r="J1888" i="1" a="1"/>
  <c r="J1888" i="1" s="1"/>
  <c r="I1888" i="1" a="1"/>
  <c r="I1888" i="1" s="1"/>
  <c r="G1887" i="1" a="1"/>
  <c r="G1887" i="1" s="1"/>
  <c r="J1883" i="1" a="1"/>
  <c r="J1883" i="1" s="1"/>
  <c r="I1882" i="1" a="1"/>
  <c r="I1882" i="1" s="1"/>
  <c r="G1875" i="1" a="1"/>
  <c r="G1875" i="1" s="1"/>
  <c r="H1875" i="1" a="1"/>
  <c r="H1875" i="1" s="1"/>
  <c r="H1888" i="1" a="1"/>
  <c r="H1888" i="1" s="1"/>
  <c r="H1882" i="1" a="1"/>
  <c r="H1882" i="1" s="1"/>
  <c r="F1882" i="1" a="1"/>
  <c r="F1882" i="1" s="1"/>
  <c r="J1887" i="1" a="1"/>
  <c r="J1887" i="1" s="1"/>
  <c r="J1871" i="1" a="1"/>
  <c r="J1871" i="1" s="1"/>
  <c r="H1871" i="1" a="1"/>
  <c r="H1871" i="1" s="1"/>
  <c r="I1860" i="1" a="1"/>
  <c r="I1860" i="1" s="1"/>
  <c r="K1862" i="1" a="1"/>
  <c r="K1862" i="1" s="1"/>
  <c r="G1871" i="1" a="1"/>
  <c r="G1871" i="1" s="1"/>
  <c r="I1869" i="1" a="1"/>
  <c r="I1869" i="1" s="1"/>
  <c r="F1869" i="1" a="1"/>
  <c r="F1869" i="1" s="1"/>
  <c r="J1867" i="1" a="1"/>
  <c r="J1867" i="1" s="1"/>
  <c r="G1865" i="1" a="1"/>
  <c r="G1865" i="1" s="1"/>
  <c r="F1865" i="1" a="1"/>
  <c r="F1865" i="1" s="1"/>
  <c r="G1867" i="1" a="1"/>
  <c r="G1867" i="1" s="1"/>
  <c r="H1866" i="1" a="1"/>
  <c r="H1866" i="1" s="1"/>
  <c r="I1863" i="1" a="1"/>
  <c r="I1863" i="1" s="1"/>
  <c r="G1866" i="1" a="1"/>
  <c r="G1866" i="1" s="1"/>
  <c r="I1866" i="1" a="1"/>
  <c r="I1866" i="1" s="1"/>
  <c r="I1865" i="1" a="1"/>
  <c r="I1865" i="1" s="1"/>
  <c r="K1867" i="1" a="1"/>
  <c r="K1867" i="1" s="1"/>
  <c r="F1867" i="1" a="1"/>
  <c r="F1867" i="1" s="1"/>
  <c r="G1862" i="1" a="1"/>
  <c r="G1862" i="1" s="1"/>
  <c r="I1867" i="1" a="1"/>
  <c r="I1867" i="1" s="1"/>
  <c r="K1865" i="1" a="1"/>
  <c r="K1865" i="1" s="1"/>
  <c r="J1865" i="1" a="1"/>
  <c r="J1865" i="1" s="1"/>
  <c r="J1863" i="1" a="1"/>
  <c r="J1863" i="1" s="1"/>
  <c r="H1860" i="1" a="1"/>
  <c r="H1860" i="1" s="1"/>
  <c r="K1859" i="1" a="1"/>
  <c r="K1859" i="1" s="1"/>
  <c r="F1863" i="1" a="1"/>
  <c r="F1863" i="1" s="1"/>
  <c r="K1860" i="1" a="1"/>
  <c r="K1860" i="1" s="1"/>
  <c r="H1865" i="1" a="1"/>
  <c r="H1865" i="1" s="1"/>
  <c r="G1860" i="1" a="1"/>
  <c r="G1860" i="1" s="1"/>
  <c r="J1869" i="1" a="1"/>
  <c r="J1869" i="1" s="1"/>
  <c r="F1862" i="1" a="1"/>
  <c r="F1862" i="1" s="1"/>
  <c r="J1866" i="1" a="1"/>
  <c r="J1866" i="1" s="1"/>
  <c r="K1873" i="1" a="1"/>
  <c r="K1873" i="1" s="1"/>
  <c r="J1873" i="1" a="1"/>
  <c r="J1873" i="1" s="1"/>
  <c r="I1873" i="1" a="1"/>
  <c r="I1873" i="1" s="1"/>
  <c r="H1873" i="1" a="1"/>
  <c r="H1873" i="1" s="1"/>
  <c r="I1871" i="1" a="1"/>
  <c r="I1871" i="1" s="1"/>
  <c r="F1871" i="1" a="1"/>
  <c r="F1871" i="1" s="1"/>
  <c r="K1866" i="1" a="1"/>
  <c r="K1866" i="1" s="1"/>
  <c r="J1862" i="1" a="1"/>
  <c r="J1862" i="1" s="1"/>
  <c r="I1862" i="1" a="1"/>
  <c r="I1862" i="1" s="1"/>
  <c r="F1860" i="1" a="1"/>
  <c r="F1860" i="1" s="1"/>
  <c r="K1869" i="1" a="1"/>
  <c r="K1869" i="1" s="1"/>
  <c r="H1867" i="1" a="1"/>
  <c r="H1867" i="1" s="1"/>
  <c r="F1866" i="1" a="1"/>
  <c r="F1866" i="1" s="1"/>
  <c r="H1863" i="1" a="1"/>
  <c r="H1863" i="1" s="1"/>
  <c r="K1863" i="1" a="1"/>
  <c r="K1863" i="1" s="1"/>
  <c r="G1863" i="1" a="1"/>
  <c r="G1863" i="1" s="1"/>
  <c r="H1869" i="1" a="1"/>
  <c r="H1869" i="1" s="1"/>
  <c r="H1862" i="1" a="1"/>
  <c r="H1862" i="1" s="1"/>
  <c r="J1859" i="1" a="1"/>
  <c r="J1859" i="1" s="1"/>
  <c r="G1869" i="1" a="1"/>
  <c r="G1869" i="1" s="1"/>
  <c r="J1860" i="1" a="1"/>
  <c r="J1860" i="1" s="1"/>
  <c r="K1871" i="1" a="1"/>
  <c r="K1871" i="1" s="1"/>
  <c r="G1873" i="1" a="1"/>
  <c r="G1873" i="1" s="1"/>
  <c r="F1873" i="1" a="1"/>
  <c r="F1873" i="1" s="1"/>
  <c r="I1859" i="1" a="1"/>
  <c r="I1859" i="1" s="1"/>
  <c r="H1859" i="1" a="1"/>
  <c r="H1859" i="1" s="1"/>
  <c r="G1859" i="1" a="1"/>
  <c r="G1859" i="1" s="1"/>
  <c r="F1859" i="1" a="1"/>
  <c r="F1859" i="1" s="1"/>
  <c r="H1850" i="1" a="1"/>
  <c r="H1850" i="1" s="1"/>
  <c r="K1856" i="1" a="1"/>
  <c r="K1856" i="1" s="1"/>
  <c r="F1852" i="1" a="1"/>
  <c r="F1852" i="1" s="1"/>
  <c r="J1856" i="1" a="1"/>
  <c r="J1856" i="1" s="1"/>
  <c r="G1848" i="1" a="1"/>
  <c r="G1848" i="1" s="1"/>
  <c r="I1854" i="1" a="1"/>
  <c r="I1854" i="1" s="1"/>
  <c r="F1854" i="1" a="1"/>
  <c r="F1854" i="1" s="1"/>
  <c r="H1856" i="1" a="1"/>
  <c r="H1856" i="1" s="1"/>
  <c r="H1848" i="1" a="1"/>
  <c r="H1848" i="1" s="1"/>
  <c r="K1854" i="1" a="1"/>
  <c r="K1854" i="1" s="1"/>
  <c r="J1850" i="1" a="1"/>
  <c r="J1850" i="1" s="1"/>
  <c r="I1848" i="1" a="1"/>
  <c r="I1848" i="1" s="1"/>
  <c r="K1850" i="1" a="1"/>
  <c r="K1850" i="1" s="1"/>
  <c r="G1854" i="1" a="1"/>
  <c r="G1854" i="1" s="1"/>
  <c r="G1856" i="1" a="1"/>
  <c r="G1856" i="1" s="1"/>
  <c r="F1856" i="1" a="1"/>
  <c r="F1856" i="1" s="1"/>
  <c r="G1850" i="1" a="1"/>
  <c r="G1850" i="1" s="1"/>
  <c r="J1848" i="1" a="1"/>
  <c r="J1848" i="1" s="1"/>
  <c r="F1850" i="1" a="1"/>
  <c r="F1850" i="1" s="1"/>
  <c r="K1848" i="1" a="1"/>
  <c r="K1848" i="1" s="1"/>
  <c r="H1854" i="1" a="1"/>
  <c r="H1854" i="1" s="1"/>
  <c r="H1852" i="1" a="1"/>
  <c r="H1852" i="1" s="1"/>
  <c r="G1852" i="1" a="1"/>
  <c r="G1852" i="1" s="1"/>
  <c r="I1856" i="1" a="1"/>
  <c r="I1856" i="1" s="1"/>
  <c r="K1852" i="1" a="1"/>
  <c r="K1852" i="1" s="1"/>
  <c r="I1852" i="1" a="1"/>
  <c r="I1852" i="1" s="1"/>
  <c r="J1854" i="1" a="1"/>
  <c r="J1854" i="1" s="1"/>
  <c r="J1852" i="1" a="1"/>
  <c r="J1852" i="1" s="1"/>
  <c r="I1850" i="1" a="1"/>
  <c r="I1850" i="1" s="1"/>
  <c r="J1846" i="1" a="1"/>
  <c r="J1846" i="1" s="1"/>
  <c r="I1846" i="1" a="1"/>
  <c r="I1846" i="1" s="1"/>
  <c r="H1846" i="1" a="1"/>
  <c r="H1846" i="1" s="1"/>
  <c r="G1841" i="1" a="1"/>
  <c r="G1841" i="1" s="1"/>
  <c r="F1846" i="1" a="1"/>
  <c r="F1846" i="1" s="1"/>
  <c r="J1845" i="1" a="1"/>
  <c r="J1845" i="1" s="1"/>
  <c r="G1845" i="1" a="1"/>
  <c r="G1845" i="1" s="1"/>
  <c r="F1845" i="1" a="1"/>
  <c r="F1845" i="1" s="1"/>
  <c r="H1840" i="1" a="1"/>
  <c r="H1840" i="1" s="1"/>
  <c r="K1841" i="1" a="1"/>
  <c r="K1841" i="1" s="1"/>
  <c r="G1843" i="1" a="1"/>
  <c r="G1843" i="1" s="1"/>
  <c r="J1843" i="1" a="1"/>
  <c r="J1843" i="1" s="1"/>
  <c r="I1843" i="1" a="1"/>
  <c r="I1843" i="1" s="1"/>
  <c r="H1843" i="1" a="1"/>
  <c r="H1843" i="1" s="1"/>
  <c r="J1840" i="1" a="1"/>
  <c r="J1840" i="1" s="1"/>
  <c r="F1843" i="1" a="1"/>
  <c r="F1843" i="1" s="1"/>
  <c r="I1841" i="1" a="1"/>
  <c r="I1841" i="1" s="1"/>
  <c r="F1841" i="1" a="1"/>
  <c r="F1841" i="1" s="1"/>
  <c r="F1848" i="1" a="1"/>
  <c r="F1848" i="1" s="1"/>
  <c r="K1843" i="1" a="1"/>
  <c r="K1843" i="1" s="1"/>
  <c r="K1846" i="1" a="1"/>
  <c r="K1846" i="1" s="1"/>
  <c r="H1845" i="1" a="1"/>
  <c r="H1845" i="1" s="1"/>
  <c r="K1845" i="1" a="1"/>
  <c r="K1845" i="1" s="1"/>
  <c r="J1841" i="1" a="1"/>
  <c r="J1841" i="1" s="1"/>
  <c r="G1846" i="1" a="1"/>
  <c r="G1846" i="1" s="1"/>
  <c r="G1840" i="1" a="1"/>
  <c r="G1840" i="1" s="1"/>
  <c r="K1840" i="1" a="1"/>
  <c r="K1840" i="1" s="1"/>
  <c r="I1840" i="1" a="1"/>
  <c r="I1840" i="1" s="1"/>
  <c r="I1845" i="1" a="1"/>
  <c r="I1845" i="1" s="1"/>
  <c r="H1841" i="1" a="1"/>
  <c r="H1841" i="1" s="1"/>
  <c r="F1840" i="1" a="1"/>
  <c r="F1840" i="1" s="1"/>
  <c r="G1833" i="1" a="1"/>
  <c r="G1833" i="1" s="1"/>
  <c r="F1829" i="1" a="1"/>
  <c r="F1829" i="1" s="1"/>
  <c r="J1835" i="1" a="1"/>
  <c r="J1835" i="1" s="1"/>
  <c r="G1826" i="1" a="1"/>
  <c r="G1826" i="1" s="1"/>
  <c r="I1835" i="1" a="1"/>
  <c r="I1835" i="1" s="1"/>
  <c r="J1827" i="1" a="1"/>
  <c r="J1827" i="1" s="1"/>
  <c r="H1829" i="1" a="1"/>
  <c r="H1829" i="1" s="1"/>
  <c r="I1829" i="1" a="1"/>
  <c r="I1829" i="1" s="1"/>
  <c r="J1831" i="1" a="1"/>
  <c r="J1831" i="1" s="1"/>
  <c r="K1829" i="1" a="1"/>
  <c r="K1829" i="1" s="1"/>
  <c r="G1827" i="1" a="1"/>
  <c r="G1827" i="1" s="1"/>
  <c r="J1826" i="1" a="1"/>
  <c r="J1826" i="1" s="1"/>
  <c r="H1837" i="1" a="1"/>
  <c r="H1837" i="1" s="1"/>
  <c r="I1827" i="1" a="1"/>
  <c r="I1827" i="1" s="1"/>
  <c r="K1833" i="1" a="1"/>
  <c r="K1833" i="1" s="1"/>
  <c r="I1826" i="1" a="1"/>
  <c r="I1826" i="1" s="1"/>
  <c r="J1837" i="1" a="1"/>
  <c r="J1837" i="1" s="1"/>
  <c r="K1835" i="1" a="1"/>
  <c r="K1835" i="1" s="1"/>
  <c r="H1835" i="1" a="1"/>
  <c r="H1835" i="1" s="1"/>
  <c r="K1826" i="1" a="1"/>
  <c r="K1826" i="1" s="1"/>
  <c r="F1835" i="1" a="1"/>
  <c r="F1835" i="1" s="1"/>
  <c r="G1831" i="1" a="1"/>
  <c r="G1831" i="1" s="1"/>
  <c r="H1826" i="1" a="1"/>
  <c r="H1826" i="1" s="1"/>
  <c r="K1831" i="1" a="1"/>
  <c r="K1831" i="1" s="1"/>
  <c r="K1827" i="1" a="1"/>
  <c r="K1827" i="1" s="1"/>
  <c r="F1837" i="1" a="1"/>
  <c r="F1837" i="1" s="1"/>
  <c r="H1827" i="1" a="1"/>
  <c r="H1827" i="1" s="1"/>
  <c r="H1833" i="1" a="1"/>
  <c r="H1833" i="1" s="1"/>
  <c r="F1831" i="1" a="1"/>
  <c r="F1831" i="1" s="1"/>
  <c r="K1837" i="1" a="1"/>
  <c r="K1837" i="1" s="1"/>
  <c r="I1833" i="1" a="1"/>
  <c r="I1833" i="1" s="1"/>
  <c r="G1835" i="1" a="1"/>
  <c r="G1835" i="1" s="1"/>
  <c r="F1827" i="1" a="1"/>
  <c r="F1827" i="1" s="1"/>
  <c r="G1829" i="1" a="1"/>
  <c r="G1829" i="1" s="1"/>
  <c r="J1829" i="1" a="1"/>
  <c r="J1829" i="1" s="1"/>
  <c r="K1824" i="1" a="1"/>
  <c r="K1824" i="1" s="1"/>
  <c r="I1837" i="1" a="1"/>
  <c r="I1837" i="1" s="1"/>
  <c r="G1837" i="1" a="1"/>
  <c r="G1837" i="1" s="1"/>
  <c r="J1833" i="1" a="1"/>
  <c r="J1833" i="1" s="1"/>
  <c r="F1833" i="1" a="1"/>
  <c r="F1833" i="1" s="1"/>
  <c r="I1831" i="1" a="1"/>
  <c r="I1831" i="1" s="1"/>
  <c r="H1831" i="1" a="1"/>
  <c r="H1831" i="1" s="1"/>
  <c r="F1826" i="1" a="1"/>
  <c r="F1826" i="1" s="1"/>
  <c r="I1822" i="1" a="1"/>
  <c r="I1822" i="1" s="1"/>
  <c r="F1822" i="1" a="1"/>
  <c r="F1822" i="1" s="1"/>
  <c r="G1821" i="1" a="1"/>
  <c r="G1821" i="1" s="1"/>
  <c r="H1822" i="1" a="1"/>
  <c r="H1822" i="1" s="1"/>
  <c r="J1824" i="1" a="1"/>
  <c r="J1824" i="1" s="1"/>
  <c r="H1824" i="1" a="1"/>
  <c r="H1824" i="1" s="1"/>
  <c r="G1824" i="1" a="1"/>
  <c r="G1824" i="1" s="1"/>
  <c r="G1822" i="1" a="1"/>
  <c r="G1822" i="1" s="1"/>
  <c r="I1821" i="1" a="1"/>
  <c r="I1821" i="1" s="1"/>
  <c r="H1821" i="1" a="1"/>
  <c r="H1821" i="1" s="1"/>
  <c r="I1824" i="1" a="1"/>
  <c r="I1824" i="1" s="1"/>
  <c r="J1821" i="1" a="1"/>
  <c r="J1821" i="1" s="1"/>
  <c r="F1824" i="1" a="1"/>
  <c r="F1824" i="1" s="1"/>
  <c r="K1822" i="1" a="1"/>
  <c r="K1822" i="1" s="1"/>
  <c r="J1822" i="1" a="1"/>
  <c r="J1822" i="1" s="1"/>
  <c r="K1821" i="1" a="1"/>
  <c r="K1821" i="1" s="1"/>
  <c r="F1821" i="1" a="1"/>
  <c r="F1821" i="1" s="1"/>
  <c r="G1039" i="1" a="1"/>
  <c r="G1039" i="1" s="1"/>
  <c r="H1037" i="1" a="1"/>
  <c r="H1037" i="1" s="1"/>
  <c r="I1030" i="1" a="1"/>
  <c r="I1030" i="1" s="1"/>
  <c r="G1037" i="1" a="1"/>
  <c r="G1037" i="1" s="1"/>
  <c r="J1039" i="1" a="1"/>
  <c r="J1039" i="1" s="1"/>
  <c r="H1039" i="1" a="1"/>
  <c r="H1039" i="1" s="1"/>
  <c r="F1030" i="1" a="1"/>
  <c r="F1030" i="1" s="1"/>
  <c r="K1030" i="1" a="1"/>
  <c r="K1030" i="1" s="1"/>
  <c r="H1030" i="1" a="1"/>
  <c r="H1030" i="1" s="1"/>
  <c r="F1037" i="1" a="1"/>
  <c r="F1037" i="1" s="1"/>
  <c r="F1039" i="1" a="1"/>
  <c r="F1039" i="1" s="1"/>
  <c r="I1039" i="1" a="1"/>
  <c r="I1039" i="1" s="1"/>
  <c r="K1037" i="1" a="1"/>
  <c r="K1037" i="1" s="1"/>
  <c r="G1030" i="1" a="1"/>
  <c r="G1030" i="1" s="1"/>
  <c r="J1030" i="1" a="1"/>
  <c r="J1030" i="1" s="1"/>
  <c r="K1039" i="1" a="1"/>
  <c r="K1039" i="1" s="1"/>
  <c r="J1037" i="1" a="1"/>
  <c r="J1037" i="1" s="1"/>
  <c r="I1037" i="1" a="1"/>
  <c r="I1037" i="1" s="1"/>
  <c r="G997" i="1" a="1"/>
  <c r="G997" i="1" s="1"/>
  <c r="G1049" i="1" s="1" a="1"/>
  <c r="G1049" i="1" s="1"/>
  <c r="G1006" i="1" a="1"/>
  <c r="G1006" i="1" s="1"/>
  <c r="G1052" i="1" s="1" a="1"/>
  <c r="G1052" i="1" s="1"/>
  <c r="H996" i="1" a="1"/>
  <c r="H996" i="1" s="1"/>
  <c r="K997" i="1" a="1"/>
  <c r="K997" i="1" s="1"/>
  <c r="K1049" i="1" s="1" a="1"/>
  <c r="K1049" i="1" s="1"/>
  <c r="J997" i="1" a="1"/>
  <c r="J997" i="1" s="1"/>
  <c r="J1049" i="1" s="1" a="1"/>
  <c r="J1049" i="1" s="1"/>
  <c r="I996" i="1" a="1"/>
  <c r="I996" i="1" s="1"/>
  <c r="H1006" i="1" a="1"/>
  <c r="H1006" i="1" s="1"/>
  <c r="H1052" i="1" s="1" a="1"/>
  <c r="H1052" i="1" s="1"/>
  <c r="K1022" i="1" a="1"/>
  <c r="K1022" i="1" s="1"/>
  <c r="F1006" i="1" a="1"/>
  <c r="F1006" i="1" s="1"/>
  <c r="F1052" i="1" s="1" a="1"/>
  <c r="F1052" i="1" s="1"/>
  <c r="K1027" i="1" a="1"/>
  <c r="K1027" i="1" s="1"/>
  <c r="J1027" i="1" a="1"/>
  <c r="J1027" i="1" s="1"/>
  <c r="I1027" i="1" a="1"/>
  <c r="I1027" i="1" s="1"/>
  <c r="H1027" i="1" a="1"/>
  <c r="H1027" i="1" s="1"/>
  <c r="I1022" i="1" a="1"/>
  <c r="I1022" i="1" s="1"/>
  <c r="G1022" i="1" a="1"/>
  <c r="G1022" i="1" s="1"/>
  <c r="I1006" i="1" a="1"/>
  <c r="I1006" i="1" s="1"/>
  <c r="I1052" i="1" s="1" a="1"/>
  <c r="I1052" i="1" s="1"/>
  <c r="J1022" i="1" a="1"/>
  <c r="J1022" i="1" s="1"/>
  <c r="J996" i="1" a="1"/>
  <c r="J996" i="1" s="1"/>
  <c r="F1022" i="1" a="1"/>
  <c r="F1022" i="1" s="1"/>
  <c r="K1006" i="1" a="1"/>
  <c r="K1006" i="1" s="1"/>
  <c r="K1052" i="1" s="1" a="1"/>
  <c r="K1052" i="1" s="1"/>
  <c r="K996" i="1" a="1"/>
  <c r="K996" i="1" s="1"/>
  <c r="G1027" i="1" a="1"/>
  <c r="G1027" i="1" s="1"/>
  <c r="F997" i="1" a="1"/>
  <c r="F997" i="1" s="1"/>
  <c r="F1049" i="1" s="1" a="1"/>
  <c r="F1049" i="1" s="1"/>
  <c r="G1025" i="1" a="1"/>
  <c r="G1025" i="1" s="1"/>
  <c r="J1006" i="1" a="1"/>
  <c r="J1006" i="1" s="1"/>
  <c r="J1052" i="1" s="1" a="1"/>
  <c r="J1052" i="1" s="1"/>
  <c r="H1025" i="1" a="1"/>
  <c r="H1025" i="1" s="1"/>
  <c r="H1022" i="1" a="1"/>
  <c r="H1022" i="1" s="1"/>
  <c r="H997" i="1" a="1"/>
  <c r="H997" i="1" s="1"/>
  <c r="H1049" i="1" s="1" a="1"/>
  <c r="H1049" i="1" s="1"/>
  <c r="F1027" i="1" a="1"/>
  <c r="F1027" i="1" s="1"/>
  <c r="K1025" i="1" a="1"/>
  <c r="K1025" i="1" s="1"/>
  <c r="J1025" i="1" a="1"/>
  <c r="J1025" i="1" s="1"/>
  <c r="I1025" i="1" a="1"/>
  <c r="I1025" i="1" s="1"/>
  <c r="I997" i="1" a="1"/>
  <c r="I997" i="1" s="1"/>
  <c r="I1049" i="1" s="1" a="1"/>
  <c r="I1049" i="1" s="1"/>
  <c r="F1025" i="1" a="1"/>
  <c r="F1025" i="1" s="1"/>
  <c r="I977" i="1" a="1"/>
  <c r="I977" i="1" s="1"/>
  <c r="I1051" i="1" s="1" a="1"/>
  <c r="I1051" i="1" s="1"/>
  <c r="F977" i="1" a="1"/>
  <c r="F977" i="1" s="1"/>
  <c r="F1051" i="1" s="1" a="1"/>
  <c r="F1051" i="1" s="1"/>
  <c r="F974" i="1" a="1"/>
  <c r="F974" i="1" s="1"/>
  <c r="F989" i="1" a="1"/>
  <c r="F989" i="1" s="1"/>
  <c r="J983" i="1" a="1"/>
  <c r="J983" i="1" s="1"/>
  <c r="I983" i="1" a="1"/>
  <c r="I983" i="1" s="1"/>
  <c r="F983" i="1" a="1"/>
  <c r="F983" i="1" s="1"/>
  <c r="H983" i="1" a="1"/>
  <c r="H983" i="1" s="1"/>
  <c r="I974" i="1" a="1"/>
  <c r="I974" i="1" s="1"/>
  <c r="K976" i="1" a="1"/>
  <c r="K976" i="1" s="1"/>
  <c r="I976" i="1" a="1"/>
  <c r="I976" i="1" s="1"/>
  <c r="G976" i="1" a="1"/>
  <c r="G976" i="1" s="1"/>
  <c r="J977" i="1" a="1"/>
  <c r="J977" i="1" s="1"/>
  <c r="J1051" i="1" s="1" a="1"/>
  <c r="J1051" i="1" s="1"/>
  <c r="H977" i="1" a="1"/>
  <c r="H977" i="1" s="1"/>
  <c r="H1051" i="1" s="1" a="1"/>
  <c r="H1051" i="1" s="1"/>
  <c r="G977" i="1" a="1"/>
  <c r="G977" i="1" s="1"/>
  <c r="G1051" i="1" s="1" a="1"/>
  <c r="G1051" i="1" s="1"/>
  <c r="J976" i="1" a="1"/>
  <c r="J976" i="1" s="1"/>
  <c r="G974" i="1" a="1"/>
  <c r="G974" i="1" s="1"/>
  <c r="I973" i="1" a="1"/>
  <c r="I973" i="1" s="1"/>
  <c r="H973" i="1" a="1"/>
  <c r="H973" i="1" s="1"/>
  <c r="F976" i="1" a="1"/>
  <c r="F976" i="1" s="1"/>
  <c r="J974" i="1" a="1"/>
  <c r="J974" i="1" s="1"/>
  <c r="J973" i="1" a="1"/>
  <c r="J973" i="1" s="1"/>
  <c r="G983" i="1" a="1"/>
  <c r="G983" i="1" s="1"/>
  <c r="G973" i="1" a="1"/>
  <c r="G973" i="1" s="1"/>
  <c r="K977" i="1" a="1"/>
  <c r="K977" i="1" s="1"/>
  <c r="K1051" i="1" s="1" a="1"/>
  <c r="K1051" i="1" s="1"/>
  <c r="H974" i="1" a="1"/>
  <c r="H974" i="1" s="1"/>
  <c r="K973" i="1" a="1"/>
  <c r="K973" i="1" s="1"/>
  <c r="H989" i="1" a="1"/>
  <c r="H989" i="1" s="1"/>
  <c r="H976" i="1" a="1"/>
  <c r="H976" i="1" s="1"/>
  <c r="F973" i="1" a="1"/>
  <c r="F973" i="1" s="1"/>
  <c r="G996" i="1" a="1"/>
  <c r="G996" i="1" s="1"/>
  <c r="F996" i="1" a="1"/>
  <c r="F996" i="1" s="1"/>
  <c r="K989" i="1" a="1"/>
  <c r="K989" i="1" s="1"/>
  <c r="K974" i="1" a="1"/>
  <c r="K974" i="1" s="1"/>
  <c r="J989" i="1" a="1"/>
  <c r="J989" i="1" s="1"/>
  <c r="I989" i="1" a="1"/>
  <c r="I989" i="1" s="1"/>
  <c r="G989" i="1" a="1"/>
  <c r="G989" i="1" s="1"/>
  <c r="K983" i="1" a="1"/>
  <c r="K983" i="1" s="1"/>
  <c r="H894" i="1" a="1"/>
  <c r="H894" i="1" s="1"/>
  <c r="H914" i="1" a="1"/>
  <c r="H914" i="1" s="1"/>
  <c r="F912" i="1" a="1"/>
  <c r="F912" i="1" s="1"/>
  <c r="K912" i="1" a="1"/>
  <c r="K912" i="1" s="1"/>
  <c r="J912" i="1" a="1"/>
  <c r="J912" i="1" s="1"/>
  <c r="I914" i="1" a="1"/>
  <c r="I914" i="1" s="1"/>
  <c r="I894" i="1" a="1"/>
  <c r="I894" i="1" s="1"/>
  <c r="I923" i="1" s="1"/>
  <c r="I922" i="1" s="1"/>
  <c r="K926" i="1" a="1"/>
  <c r="K926" i="1" s="1"/>
  <c r="I926" i="1" a="1"/>
  <c r="I926" i="1" s="1"/>
  <c r="H926" i="1" a="1"/>
  <c r="H926" i="1" s="1"/>
  <c r="G926" i="1" a="1"/>
  <c r="G926" i="1" s="1"/>
  <c r="K894" i="1" a="1"/>
  <c r="K894" i="1" s="1"/>
  <c r="K900" i="1" s="1"/>
  <c r="G914" i="1" a="1"/>
  <c r="G914" i="1" s="1"/>
  <c r="G912" i="1" a="1"/>
  <c r="G912" i="1" s="1"/>
  <c r="J914" i="1" a="1"/>
  <c r="J914" i="1" s="1"/>
  <c r="G894" i="1" a="1"/>
  <c r="G894" i="1" s="1"/>
  <c r="G901" i="1" s="1"/>
  <c r="K914" i="1" a="1"/>
  <c r="K914" i="1" s="1"/>
  <c r="F914" i="1" a="1"/>
  <c r="F914" i="1" s="1"/>
  <c r="H912" i="1" a="1"/>
  <c r="H912" i="1" s="1"/>
  <c r="I912" i="1" a="1"/>
  <c r="I912" i="1" s="1"/>
  <c r="J894" i="1" a="1"/>
  <c r="J894" i="1" s="1"/>
  <c r="F926" i="1" a="1"/>
  <c r="F926" i="1" s="1"/>
  <c r="J926" i="1" a="1"/>
  <c r="J926" i="1" s="1"/>
  <c r="F894" i="1" a="1"/>
  <c r="F894" i="1" s="1"/>
  <c r="J882" i="1" a="1"/>
  <c r="J882" i="1" s="1"/>
  <c r="G883" i="1" a="1"/>
  <c r="G883" i="1" s="1"/>
  <c r="I883" i="1" a="1"/>
  <c r="I883" i="1" s="1"/>
  <c r="F882" i="1" a="1"/>
  <c r="F882" i="1" s="1"/>
  <c r="J883" i="1" a="1"/>
  <c r="J883" i="1" s="1"/>
  <c r="K883" i="1" a="1"/>
  <c r="K883" i="1" s="1"/>
  <c r="H883" i="1" a="1"/>
  <c r="H883" i="1" s="1"/>
  <c r="F883" i="1" a="1"/>
  <c r="F883" i="1" s="1"/>
  <c r="K882" i="1" a="1"/>
  <c r="K882" i="1" s="1"/>
  <c r="I882" i="1" a="1"/>
  <c r="I882" i="1" s="1"/>
  <c r="H882" i="1" a="1"/>
  <c r="H882" i="1" s="1"/>
  <c r="G882" i="1" a="1"/>
  <c r="G882" i="1" s="1"/>
  <c r="H800" i="1" a="1"/>
  <c r="H800" i="1" s="1"/>
  <c r="J778" i="1" a="1"/>
  <c r="J778" i="1" s="1"/>
  <c r="J777" i="1" s="1"/>
  <c r="J804" i="1" a="1"/>
  <c r="J804" i="1" s="1"/>
  <c r="I802" i="1" a="1"/>
  <c r="I802" i="1" s="1"/>
  <c r="I804" i="1" a="1"/>
  <c r="I804" i="1" s="1"/>
  <c r="F804" i="1" a="1"/>
  <c r="F804" i="1" s="1"/>
  <c r="F800" i="1" a="1"/>
  <c r="F800" i="1" s="1"/>
  <c r="K800" i="1" a="1"/>
  <c r="K800" i="1" s="1"/>
  <c r="I800" i="1" a="1"/>
  <c r="I800" i="1" s="1"/>
  <c r="K778" i="1" a="1"/>
  <c r="K778" i="1" s="1"/>
  <c r="K777" i="1" s="1"/>
  <c r="H778" i="1" a="1"/>
  <c r="H778" i="1" s="1"/>
  <c r="H777" i="1" s="1"/>
  <c r="G778" i="1" a="1"/>
  <c r="G778" i="1" s="1"/>
  <c r="G777" i="1" s="1"/>
  <c r="F778" i="1" a="1"/>
  <c r="F778" i="1" s="1"/>
  <c r="F777" i="1" s="1"/>
  <c r="F784" i="1" s="1"/>
  <c r="F785" i="1" s="1"/>
  <c r="K802" i="1" a="1"/>
  <c r="K802" i="1" s="1"/>
  <c r="H804" i="1" a="1"/>
  <c r="H804" i="1" s="1"/>
  <c r="G804" i="1" a="1"/>
  <c r="G804" i="1" s="1"/>
  <c r="G802" i="1" a="1"/>
  <c r="G802" i="1" s="1"/>
  <c r="I778" i="1" a="1"/>
  <c r="I778" i="1" s="1"/>
  <c r="I777" i="1" s="1"/>
  <c r="H802" i="1" a="1"/>
  <c r="H802" i="1" s="1"/>
  <c r="G800" i="1" a="1"/>
  <c r="G800" i="1" s="1"/>
  <c r="J800" i="1" a="1"/>
  <c r="J800" i="1" s="1"/>
  <c r="F802" i="1" a="1"/>
  <c r="F802" i="1" s="1"/>
  <c r="K804" i="1" a="1"/>
  <c r="K804" i="1" s="1"/>
  <c r="J802" i="1" a="1"/>
  <c r="J802" i="1" s="1"/>
  <c r="H764" i="1" a="1"/>
  <c r="H764" i="1" s="1"/>
  <c r="H814" i="1" s="1" a="1"/>
  <c r="H814" i="1" s="1"/>
  <c r="G764" i="1" a="1"/>
  <c r="G764" i="1" s="1"/>
  <c r="G814" i="1" s="1" a="1"/>
  <c r="G814" i="1" s="1"/>
  <c r="K764" i="1" a="1"/>
  <c r="K764" i="1" s="1"/>
  <c r="K814" i="1" s="1" a="1"/>
  <c r="K814" i="1" s="1"/>
  <c r="F764" i="1" a="1"/>
  <c r="F764" i="1" s="1"/>
  <c r="F814" i="1" s="1" a="1"/>
  <c r="F814" i="1" s="1"/>
  <c r="J764" i="1" a="1"/>
  <c r="J764" i="1" s="1"/>
  <c r="J814" i="1" s="1" a="1"/>
  <c r="J814" i="1" s="1"/>
  <c r="I764" i="1" a="1"/>
  <c r="I764" i="1" s="1"/>
  <c r="I814" i="1" s="1" a="1"/>
  <c r="I814" i="1" s="1"/>
  <c r="K854" i="1"/>
  <c r="J854" i="1"/>
  <c r="I854" i="1"/>
  <c r="H854" i="1"/>
  <c r="H853" i="1" s="1"/>
  <c r="G854" i="1"/>
  <c r="G853" i="1" s="1"/>
  <c r="F854" i="1"/>
  <c r="K853" i="1"/>
  <c r="J853" i="1"/>
  <c r="I853" i="1"/>
  <c r="F853" i="1"/>
  <c r="K851" i="1"/>
  <c r="J851" i="1"/>
  <c r="I851" i="1"/>
  <c r="H851" i="1"/>
  <c r="G851" i="1"/>
  <c r="F851" i="1"/>
  <c r="K849" i="1"/>
  <c r="J849" i="1"/>
  <c r="I849" i="1"/>
  <c r="H849" i="1"/>
  <c r="G849" i="1"/>
  <c r="F849" i="1"/>
  <c r="K847" i="1"/>
  <c r="J847" i="1"/>
  <c r="I847" i="1"/>
  <c r="H847" i="1"/>
  <c r="G847" i="1"/>
  <c r="F847" i="1"/>
  <c r="K845" i="1"/>
  <c r="J845" i="1"/>
  <c r="I845" i="1"/>
  <c r="H845" i="1"/>
  <c r="G845" i="1"/>
  <c r="F845" i="1"/>
  <c r="K843" i="1"/>
  <c r="J843" i="1"/>
  <c r="I843" i="1"/>
  <c r="H843" i="1"/>
  <c r="G843" i="1"/>
  <c r="F843" i="1"/>
  <c r="K841" i="1"/>
  <c r="J841" i="1"/>
  <c r="I841" i="1"/>
  <c r="H841" i="1"/>
  <c r="G841" i="1"/>
  <c r="F841" i="1"/>
  <c r="K831" i="1"/>
  <c r="J831" i="1"/>
  <c r="I831" i="1"/>
  <c r="H831" i="1"/>
  <c r="G831" i="1"/>
  <c r="F831" i="1"/>
  <c r="K829" i="1"/>
  <c r="J829" i="1"/>
  <c r="I829" i="1"/>
  <c r="H829" i="1"/>
  <c r="G829" i="1"/>
  <c r="F829" i="1"/>
  <c r="K827" i="1"/>
  <c r="J827" i="1"/>
  <c r="I827" i="1"/>
  <c r="H827" i="1"/>
  <c r="G827" i="1"/>
  <c r="F827" i="1"/>
  <c r="K826" i="1"/>
  <c r="J826" i="1"/>
  <c r="I826" i="1"/>
  <c r="H826" i="1"/>
  <c r="G826" i="1"/>
  <c r="F826" i="1"/>
  <c r="K825" i="1"/>
  <c r="J825" i="1"/>
  <c r="I825" i="1"/>
  <c r="H825" i="1"/>
  <c r="G825" i="1"/>
  <c r="F825" i="1"/>
  <c r="K823" i="1"/>
  <c r="J823" i="1"/>
  <c r="I823" i="1"/>
  <c r="H823" i="1"/>
  <c r="G823" i="1"/>
  <c r="F823" i="1"/>
  <c r="K822" i="1"/>
  <c r="J822" i="1"/>
  <c r="I822" i="1"/>
  <c r="H822" i="1"/>
  <c r="G822" i="1"/>
  <c r="F822" i="1"/>
  <c r="K820" i="1"/>
  <c r="J820" i="1"/>
  <c r="I820" i="1"/>
  <c r="H820" i="1"/>
  <c r="G820" i="1"/>
  <c r="F820" i="1"/>
  <c r="K819" i="1"/>
  <c r="J819" i="1"/>
  <c r="I819" i="1"/>
  <c r="H819" i="1"/>
  <c r="G819" i="1"/>
  <c r="F819" i="1"/>
  <c r="K818" i="1"/>
  <c r="J818" i="1"/>
  <c r="I818" i="1"/>
  <c r="H818" i="1"/>
  <c r="G818" i="1"/>
  <c r="F818" i="1"/>
  <c r="K816" i="1"/>
  <c r="J816" i="1"/>
  <c r="I816" i="1"/>
  <c r="H816" i="1"/>
  <c r="G816" i="1"/>
  <c r="F816" i="1"/>
  <c r="K813" i="1"/>
  <c r="J813" i="1"/>
  <c r="I813" i="1"/>
  <c r="H813" i="1"/>
  <c r="G813" i="1"/>
  <c r="F813" i="1"/>
  <c r="K811" i="1"/>
  <c r="J811" i="1"/>
  <c r="I811" i="1"/>
  <c r="H811" i="1"/>
  <c r="G811" i="1"/>
  <c r="F811" i="1"/>
  <c r="K809" i="1"/>
  <c r="J809" i="1"/>
  <c r="I809" i="1"/>
  <c r="H809" i="1"/>
  <c r="G809" i="1"/>
  <c r="F809" i="1"/>
  <c r="K805" i="1"/>
  <c r="J805" i="1"/>
  <c r="I805" i="1"/>
  <c r="H805" i="1"/>
  <c r="G805" i="1"/>
  <c r="F805" i="1"/>
  <c r="K789" i="1"/>
  <c r="J789" i="1"/>
  <c r="I789" i="1"/>
  <c r="H789" i="1"/>
  <c r="G789" i="1"/>
  <c r="F789" i="1"/>
  <c r="K787" i="1"/>
  <c r="J787" i="1"/>
  <c r="I787" i="1"/>
  <c r="H787" i="1"/>
  <c r="G787" i="1"/>
  <c r="F787" i="1"/>
  <c r="K786" i="1"/>
  <c r="J786" i="1"/>
  <c r="I786" i="1"/>
  <c r="H786" i="1"/>
  <c r="G786" i="1"/>
  <c r="F786" i="1"/>
  <c r="K780" i="1"/>
  <c r="J780" i="1"/>
  <c r="I780" i="1"/>
  <c r="H780" i="1"/>
  <c r="G780" i="1"/>
  <c r="F780" i="1"/>
  <c r="K776" i="1"/>
  <c r="J776" i="1"/>
  <c r="I776" i="1"/>
  <c r="H776" i="1"/>
  <c r="G776" i="1"/>
  <c r="F776" i="1"/>
  <c r="K774" i="1"/>
  <c r="J774" i="1"/>
  <c r="I774" i="1"/>
  <c r="H774" i="1"/>
  <c r="G774" i="1"/>
  <c r="F774" i="1"/>
  <c r="K772" i="1"/>
  <c r="J772" i="1"/>
  <c r="I772" i="1"/>
  <c r="H772" i="1"/>
  <c r="G772" i="1"/>
  <c r="F772" i="1"/>
  <c r="K770" i="1"/>
  <c r="J770" i="1"/>
  <c r="I770" i="1"/>
  <c r="H770" i="1"/>
  <c r="G770" i="1"/>
  <c r="F770" i="1"/>
  <c r="K765" i="1"/>
  <c r="J765" i="1"/>
  <c r="I765" i="1"/>
  <c r="H765" i="1"/>
  <c r="G765" i="1"/>
  <c r="F765" i="1"/>
  <c r="K762" i="1"/>
  <c r="J762" i="1"/>
  <c r="I762" i="1"/>
  <c r="H762" i="1"/>
  <c r="G762" i="1"/>
  <c r="F762" i="1"/>
  <c r="K705" i="1"/>
  <c r="J705" i="1"/>
  <c r="I705" i="1"/>
  <c r="H705" i="1"/>
  <c r="G705" i="1"/>
  <c r="F705" i="1"/>
  <c r="K704" i="1"/>
  <c r="J704" i="1"/>
  <c r="I704" i="1"/>
  <c r="H704" i="1"/>
  <c r="G704" i="1"/>
  <c r="F704" i="1"/>
  <c r="K676" i="1"/>
  <c r="J676" i="1"/>
  <c r="I676" i="1"/>
  <c r="H676" i="1"/>
  <c r="G676" i="1"/>
  <c r="F676" i="1"/>
  <c r="K675" i="1"/>
  <c r="J675" i="1"/>
  <c r="I675" i="1"/>
  <c r="H675" i="1"/>
  <c r="G675" i="1"/>
  <c r="F675" i="1"/>
  <c r="K667" i="1"/>
  <c r="K673" i="1" s="1"/>
  <c r="J667" i="1"/>
  <c r="J673" i="1" s="1"/>
  <c r="I667" i="1"/>
  <c r="I673" i="1" s="1"/>
  <c r="H667" i="1"/>
  <c r="H673" i="1" s="1"/>
  <c r="G667" i="1"/>
  <c r="G673" i="1" s="1"/>
  <c r="F667" i="1"/>
  <c r="F673" i="1" s="1"/>
  <c r="K666" i="1"/>
  <c r="K672" i="1" s="1"/>
  <c r="J666" i="1"/>
  <c r="J672" i="1" s="1"/>
  <c r="I666" i="1"/>
  <c r="I672" i="1" s="1"/>
  <c r="H666" i="1"/>
  <c r="H672" i="1" s="1"/>
  <c r="G666" i="1"/>
  <c r="G672" i="1" s="1"/>
  <c r="F666" i="1"/>
  <c r="F672" i="1" s="1"/>
  <c r="K665" i="1"/>
  <c r="J665" i="1"/>
  <c r="I665" i="1"/>
  <c r="H665" i="1"/>
  <c r="G665" i="1"/>
  <c r="F665" i="1"/>
  <c r="K661" i="1"/>
  <c r="J661" i="1"/>
  <c r="I661" i="1"/>
  <c r="H661" i="1"/>
  <c r="G661" i="1"/>
  <c r="F661" i="1"/>
  <c r="K619" i="1"/>
  <c r="J619" i="1"/>
  <c r="I619" i="1"/>
  <c r="H619" i="1"/>
  <c r="G619" i="1"/>
  <c r="F619" i="1"/>
  <c r="K614" i="1"/>
  <c r="J614" i="1"/>
  <c r="I614" i="1"/>
  <c r="H614" i="1"/>
  <c r="G614" i="1"/>
  <c r="F614" i="1"/>
  <c r="K613" i="1"/>
  <c r="J613" i="1"/>
  <c r="I613" i="1"/>
  <c r="H613" i="1"/>
  <c r="G613" i="1"/>
  <c r="F613" i="1"/>
  <c r="K598" i="1"/>
  <c r="J598" i="1"/>
  <c r="I598" i="1"/>
  <c r="H598" i="1"/>
  <c r="G598" i="1"/>
  <c r="F598" i="1"/>
  <c r="K580" i="1"/>
  <c r="J580" i="1"/>
  <c r="I580" i="1"/>
  <c r="H580" i="1"/>
  <c r="G580" i="1"/>
  <c r="F580" i="1"/>
  <c r="K503" i="1"/>
  <c r="J503" i="1"/>
  <c r="I503" i="1"/>
  <c r="H503" i="1"/>
  <c r="G503" i="1"/>
  <c r="F503" i="1"/>
  <c r="K460" i="1"/>
  <c r="J460" i="1"/>
  <c r="I460" i="1"/>
  <c r="H460" i="1"/>
  <c r="G460" i="1"/>
  <c r="F460" i="1"/>
  <c r="K458" i="1"/>
  <c r="J458" i="1"/>
  <c r="I458" i="1"/>
  <c r="H458" i="1"/>
  <c r="G458" i="1"/>
  <c r="F458" i="1"/>
  <c r="K456" i="1"/>
  <c r="J456" i="1"/>
  <c r="I456" i="1"/>
  <c r="H456" i="1"/>
  <c r="G456" i="1"/>
  <c r="F456" i="1"/>
  <c r="K454" i="1"/>
  <c r="J454" i="1"/>
  <c r="I454" i="1"/>
  <c r="H454" i="1"/>
  <c r="G454" i="1"/>
  <c r="F454" i="1"/>
  <c r="K448" i="1"/>
  <c r="J448" i="1"/>
  <c r="I448" i="1"/>
  <c r="H448" i="1"/>
  <c r="G448" i="1"/>
  <c r="F448" i="1"/>
  <c r="K446" i="1"/>
  <c r="J446" i="1"/>
  <c r="I446" i="1"/>
  <c r="H446" i="1"/>
  <c r="G446" i="1"/>
  <c r="F446" i="1"/>
  <c r="K444" i="1"/>
  <c r="J444" i="1"/>
  <c r="I444" i="1"/>
  <c r="H444" i="1"/>
  <c r="G444" i="1"/>
  <c r="F444" i="1"/>
  <c r="K442" i="1"/>
  <c r="J442" i="1"/>
  <c r="I442" i="1"/>
  <c r="H442" i="1"/>
  <c r="G442" i="1"/>
  <c r="F442" i="1"/>
  <c r="K406" i="1"/>
  <c r="J406" i="1"/>
  <c r="I406" i="1"/>
  <c r="H406" i="1"/>
  <c r="G406" i="1"/>
  <c r="F406" i="1"/>
  <c r="K405" i="1"/>
  <c r="J405" i="1"/>
  <c r="I405" i="1"/>
  <c r="H405" i="1"/>
  <c r="G405" i="1"/>
  <c r="F405" i="1"/>
  <c r="K404" i="1"/>
  <c r="J404" i="1"/>
  <c r="I404" i="1"/>
  <c r="H404" i="1"/>
  <c r="G404" i="1"/>
  <c r="F404" i="1"/>
  <c r="K403" i="1"/>
  <c r="J403" i="1"/>
  <c r="I403" i="1"/>
  <c r="H403" i="1"/>
  <c r="G403" i="1"/>
  <c r="F403" i="1"/>
  <c r="K402" i="1"/>
  <c r="J402" i="1"/>
  <c r="I402" i="1"/>
  <c r="H402" i="1"/>
  <c r="G402" i="1"/>
  <c r="F402" i="1"/>
  <c r="K401" i="1"/>
  <c r="J401" i="1"/>
  <c r="I401" i="1"/>
  <c r="H401" i="1"/>
  <c r="G401" i="1"/>
  <c r="F401" i="1"/>
  <c r="K400" i="1"/>
  <c r="J400" i="1"/>
  <c r="I400" i="1"/>
  <c r="H400" i="1"/>
  <c r="G400" i="1"/>
  <c r="F400" i="1"/>
  <c r="K394" i="1"/>
  <c r="J394" i="1"/>
  <c r="I394" i="1"/>
  <c r="H394" i="1"/>
  <c r="G394" i="1"/>
  <c r="F394" i="1"/>
  <c r="K392" i="1"/>
  <c r="J392" i="1"/>
  <c r="I392" i="1"/>
  <c r="H392" i="1"/>
  <c r="G392" i="1"/>
  <c r="F392" i="1"/>
  <c r="K391" i="1"/>
  <c r="J391" i="1"/>
  <c r="I391" i="1"/>
  <c r="H391" i="1"/>
  <c r="G391" i="1"/>
  <c r="F391" i="1"/>
  <c r="K390" i="1"/>
  <c r="J390" i="1"/>
  <c r="I390" i="1"/>
  <c r="H390" i="1"/>
  <c r="G390" i="1"/>
  <c r="F390" i="1"/>
  <c r="K389" i="1"/>
  <c r="J389" i="1"/>
  <c r="I389" i="1"/>
  <c r="H389" i="1"/>
  <c r="G389" i="1"/>
  <c r="F389" i="1"/>
  <c r="K388" i="1"/>
  <c r="J388" i="1"/>
  <c r="I388" i="1"/>
  <c r="H388" i="1"/>
  <c r="G388" i="1"/>
  <c r="F388" i="1"/>
  <c r="K386" i="1"/>
  <c r="J386" i="1"/>
  <c r="I386" i="1"/>
  <c r="H386" i="1"/>
  <c r="G386" i="1"/>
  <c r="F386" i="1"/>
  <c r="K379" i="1"/>
  <c r="J379" i="1"/>
  <c r="I379" i="1"/>
  <c r="H379" i="1"/>
  <c r="G379" i="1"/>
  <c r="F379" i="1"/>
  <c r="K358" i="1"/>
  <c r="J358" i="1"/>
  <c r="I358" i="1"/>
  <c r="H358" i="1"/>
  <c r="G358" i="1"/>
  <c r="F358" i="1"/>
  <c r="K357" i="1"/>
  <c r="J357" i="1"/>
  <c r="I357" i="1"/>
  <c r="H357" i="1"/>
  <c r="G357" i="1"/>
  <c r="F357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297" i="1"/>
  <c r="J297" i="1"/>
  <c r="I297" i="1"/>
  <c r="H297" i="1"/>
  <c r="G297" i="1"/>
  <c r="F297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1" i="1"/>
  <c r="J291" i="1"/>
  <c r="I291" i="1"/>
  <c r="H291" i="1"/>
  <c r="G291" i="1"/>
  <c r="F291" i="1"/>
  <c r="K393" i="1"/>
  <c r="J393" i="1"/>
  <c r="I393" i="1"/>
  <c r="H393" i="1"/>
  <c r="G393" i="1"/>
  <c r="F393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33" i="1"/>
  <c r="J233" i="1"/>
  <c r="I233" i="1"/>
  <c r="H233" i="1"/>
  <c r="G233" i="1"/>
  <c r="F233" i="1"/>
  <c r="K230" i="1"/>
  <c r="J230" i="1"/>
  <c r="I230" i="1"/>
  <c r="H230" i="1"/>
  <c r="G230" i="1"/>
  <c r="F230" i="1"/>
  <c r="K228" i="1"/>
  <c r="J228" i="1"/>
  <c r="I228" i="1"/>
  <c r="H228" i="1"/>
  <c r="G228" i="1"/>
  <c r="F228" i="1"/>
  <c r="K226" i="1"/>
  <c r="J226" i="1"/>
  <c r="I226" i="1"/>
  <c r="H226" i="1"/>
  <c r="G226" i="1"/>
  <c r="F226" i="1"/>
  <c r="K224" i="1"/>
  <c r="J224" i="1"/>
  <c r="I224" i="1"/>
  <c r="H224" i="1"/>
  <c r="G224" i="1"/>
  <c r="F224" i="1"/>
  <c r="K218" i="1"/>
  <c r="J218" i="1"/>
  <c r="I218" i="1"/>
  <c r="H218" i="1"/>
  <c r="G218" i="1"/>
  <c r="F218" i="1"/>
  <c r="K216" i="1"/>
  <c r="J216" i="1"/>
  <c r="I216" i="1"/>
  <c r="H216" i="1"/>
  <c r="G216" i="1"/>
  <c r="F216" i="1"/>
  <c r="K214" i="1"/>
  <c r="J214" i="1"/>
  <c r="I214" i="1"/>
  <c r="H214" i="1"/>
  <c r="H210" i="1" s="1"/>
  <c r="G214" i="1"/>
  <c r="G210" i="1" s="1"/>
  <c r="F214" i="1"/>
  <c r="K210" i="1"/>
  <c r="J210" i="1"/>
  <c r="I210" i="1"/>
  <c r="F210" i="1"/>
  <c r="K207" i="1"/>
  <c r="J207" i="1"/>
  <c r="I207" i="1"/>
  <c r="H207" i="1"/>
  <c r="G207" i="1"/>
  <c r="F207" i="1"/>
  <c r="K205" i="1"/>
  <c r="J205" i="1"/>
  <c r="I205" i="1"/>
  <c r="H205" i="1"/>
  <c r="G205" i="1"/>
  <c r="F205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3" i="1"/>
  <c r="J183" i="1"/>
  <c r="I183" i="1"/>
  <c r="H183" i="1"/>
  <c r="G183" i="1"/>
  <c r="F183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0" i="1"/>
  <c r="K398" i="1" s="1"/>
  <c r="K518" i="1" s="1"/>
  <c r="J170" i="1"/>
  <c r="J398" i="1" s="1"/>
  <c r="J518" i="1" s="1"/>
  <c r="I170" i="1"/>
  <c r="H170" i="1"/>
  <c r="H398" i="1" s="1"/>
  <c r="H518" i="1" s="1"/>
  <c r="G170" i="1"/>
  <c r="G398" i="1" s="1"/>
  <c r="G518" i="1" s="1"/>
  <c r="F170" i="1"/>
  <c r="F398" i="1" s="1"/>
  <c r="F518" i="1" s="1"/>
  <c r="K169" i="1"/>
  <c r="K397" i="1" s="1"/>
  <c r="K517" i="1" s="1"/>
  <c r="J169" i="1"/>
  <c r="J397" i="1" s="1"/>
  <c r="J517" i="1" s="1"/>
  <c r="I169" i="1"/>
  <c r="H169" i="1"/>
  <c r="H397" i="1" s="1"/>
  <c r="H517" i="1" s="1"/>
  <c r="G169" i="1"/>
  <c r="G397" i="1" s="1"/>
  <c r="G517" i="1" s="1"/>
  <c r="F169" i="1"/>
  <c r="F397" i="1" s="1"/>
  <c r="F517" i="1" s="1"/>
  <c r="K168" i="1"/>
  <c r="K396" i="1" s="1"/>
  <c r="K437" i="1" s="1"/>
  <c r="J168" i="1"/>
  <c r="J396" i="1" s="1"/>
  <c r="J437" i="1" s="1"/>
  <c r="I168" i="1"/>
  <c r="I396" i="1" s="1"/>
  <c r="I437" i="1" s="1"/>
  <c r="H168" i="1"/>
  <c r="H396" i="1" s="1"/>
  <c r="H437" i="1" s="1"/>
  <c r="G168" i="1"/>
  <c r="G396" i="1" s="1"/>
  <c r="G437" i="1" s="1"/>
  <c r="F168" i="1"/>
  <c r="F396" i="1" s="1"/>
  <c r="F437" i="1" s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8" i="1"/>
  <c r="J158" i="1"/>
  <c r="I158" i="1"/>
  <c r="H158" i="1"/>
  <c r="G158" i="1"/>
  <c r="F158" i="1"/>
  <c r="K156" i="1"/>
  <c r="J156" i="1"/>
  <c r="J384" i="1" s="1"/>
  <c r="J515" i="1" s="1"/>
  <c r="I156" i="1"/>
  <c r="I384" i="1" s="1"/>
  <c r="I515" i="1" s="1"/>
  <c r="H156" i="1"/>
  <c r="H384" i="1" s="1"/>
  <c r="H515" i="1" s="1"/>
  <c r="G156" i="1"/>
  <c r="F156" i="1"/>
  <c r="F384" i="1" s="1"/>
  <c r="F515" i="1" s="1"/>
  <c r="K155" i="1"/>
  <c r="K383" i="1" s="1"/>
  <c r="K514" i="1" s="1"/>
  <c r="J155" i="1"/>
  <c r="J383" i="1" s="1"/>
  <c r="J514" i="1" s="1"/>
  <c r="I155" i="1"/>
  <c r="I383" i="1" s="1"/>
  <c r="I514" i="1" s="1"/>
  <c r="H155" i="1"/>
  <c r="H383" i="1" s="1"/>
  <c r="H514" i="1" s="1"/>
  <c r="G155" i="1"/>
  <c r="G383" i="1" s="1"/>
  <c r="G514" i="1" s="1"/>
  <c r="F155" i="1"/>
  <c r="K154" i="1"/>
  <c r="K382" i="1" s="1"/>
  <c r="K513" i="1" s="1"/>
  <c r="J154" i="1"/>
  <c r="J382" i="1" s="1"/>
  <c r="J513" i="1" s="1"/>
  <c r="I154" i="1"/>
  <c r="I382" i="1" s="1"/>
  <c r="I513" i="1" s="1"/>
  <c r="H154" i="1"/>
  <c r="H382" i="1" s="1"/>
  <c r="H513" i="1" s="1"/>
  <c r="G154" i="1"/>
  <c r="G382" i="1" s="1"/>
  <c r="G513" i="1" s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K378" i="1" s="1"/>
  <c r="K435" i="1" s="1"/>
  <c r="J150" i="1"/>
  <c r="I150" i="1"/>
  <c r="I378" i="1" s="1"/>
  <c r="I435" i="1" s="1"/>
  <c r="H150" i="1"/>
  <c r="H378" i="1" s="1"/>
  <c r="H435" i="1" s="1"/>
  <c r="G150" i="1"/>
  <c r="G378" i="1" s="1"/>
  <c r="G435" i="1" s="1"/>
  <c r="F150" i="1"/>
  <c r="F378" i="1" s="1"/>
  <c r="F435" i="1" s="1"/>
  <c r="K134" i="1"/>
  <c r="J134" i="1"/>
  <c r="I134" i="1"/>
  <c r="H134" i="1"/>
  <c r="G134" i="1"/>
  <c r="G362" i="1" s="1"/>
  <c r="F134" i="1"/>
  <c r="K133" i="1"/>
  <c r="J133" i="1"/>
  <c r="I133" i="1"/>
  <c r="H133" i="1"/>
  <c r="G133" i="1"/>
  <c r="F133" i="1"/>
  <c r="K132" i="1"/>
  <c r="K139" i="1" s="1" a="1"/>
  <c r="K139" i="1" s="1"/>
  <c r="J132" i="1"/>
  <c r="J139" i="1" s="1" a="1"/>
  <c r="J139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K131" i="1"/>
  <c r="K138" i="1" s="1" a="1"/>
  <c r="K138" i="1" s="1"/>
  <c r="J131" i="1"/>
  <c r="J138" i="1" s="1" a="1"/>
  <c r="J138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K130" i="1"/>
  <c r="K137" i="1" s="1" a="1"/>
  <c r="K137" i="1" s="1"/>
  <c r="J130" i="1"/>
  <c r="J137" i="1" s="1" a="1"/>
  <c r="J137" i="1" s="1"/>
  <c r="I130" i="1"/>
  <c r="I137" i="1" s="1" a="1"/>
  <c r="I137" i="1" s="1"/>
  <c r="H130" i="1"/>
  <c r="H137" i="1" s="1" a="1"/>
  <c r="H137" i="1" s="1"/>
  <c r="G130" i="1"/>
  <c r="G137" i="1" s="1" a="1"/>
  <c r="G137" i="1" s="1"/>
  <c r="F130" i="1"/>
  <c r="F137" i="1" s="1" a="1"/>
  <c r="F137" i="1" s="1"/>
  <c r="K129" i="1"/>
  <c r="K136" i="1" s="1" a="1"/>
  <c r="K136" i="1" s="1"/>
  <c r="J129" i="1"/>
  <c r="J136" i="1" s="1" a="1"/>
  <c r="J136" i="1" s="1"/>
  <c r="I129" i="1"/>
  <c r="I136" i="1" s="1" a="1"/>
  <c r="I136" i="1" s="1"/>
  <c r="H129" i="1"/>
  <c r="H136" i="1" s="1" a="1"/>
  <c r="H136" i="1" s="1"/>
  <c r="G129" i="1"/>
  <c r="G136" i="1" s="1" a="1"/>
  <c r="G136" i="1" s="1"/>
  <c r="F129" i="1"/>
  <c r="F136" i="1" s="1" a="1"/>
  <c r="F136" i="1" s="1"/>
  <c r="K95" i="1"/>
  <c r="J95" i="1"/>
  <c r="J127" i="1" s="1"/>
  <c r="I95" i="1"/>
  <c r="I127" i="1" s="1"/>
  <c r="H95" i="1"/>
  <c r="H127" i="1" s="1"/>
  <c r="G95" i="1"/>
  <c r="G127" i="1" s="1"/>
  <c r="F95" i="1"/>
  <c r="F323" i="1" s="1"/>
  <c r="F478" i="1" s="1"/>
  <c r="K94" i="1"/>
  <c r="K322" i="1" s="1"/>
  <c r="K477" i="1" s="1"/>
  <c r="J94" i="1"/>
  <c r="J126" i="1" s="1"/>
  <c r="I94" i="1"/>
  <c r="H94" i="1"/>
  <c r="G94" i="1"/>
  <c r="F94" i="1"/>
  <c r="F126" i="1" s="1"/>
  <c r="K93" i="1"/>
  <c r="K321" i="1" s="1"/>
  <c r="K476" i="1" s="1"/>
  <c r="J93" i="1"/>
  <c r="J321" i="1" s="1"/>
  <c r="J476" i="1" s="1"/>
  <c r="I93" i="1"/>
  <c r="H93" i="1"/>
  <c r="G93" i="1"/>
  <c r="G321" i="1" s="1"/>
  <c r="G476" i="1" s="1"/>
  <c r="F93" i="1"/>
  <c r="K92" i="1"/>
  <c r="J92" i="1"/>
  <c r="J124" i="1" s="1"/>
  <c r="I92" i="1"/>
  <c r="H92" i="1"/>
  <c r="H124" i="1" s="1"/>
  <c r="G92" i="1"/>
  <c r="F92" i="1"/>
  <c r="K91" i="1"/>
  <c r="K123" i="1" s="1"/>
  <c r="J91" i="1"/>
  <c r="I91" i="1"/>
  <c r="H91" i="1"/>
  <c r="G91" i="1"/>
  <c r="F91" i="1"/>
  <c r="F123" i="1" s="1"/>
  <c r="K90" i="1"/>
  <c r="J90" i="1"/>
  <c r="J318" i="1" s="1"/>
  <c r="J473" i="1" s="1"/>
  <c r="I90" i="1"/>
  <c r="H90" i="1"/>
  <c r="G90" i="1"/>
  <c r="F90" i="1"/>
  <c r="K89" i="1"/>
  <c r="J89" i="1"/>
  <c r="I89" i="1"/>
  <c r="I317" i="1" s="1"/>
  <c r="I472" i="1" s="1"/>
  <c r="H89" i="1"/>
  <c r="H121" i="1" s="1"/>
  <c r="G89" i="1"/>
  <c r="F89" i="1"/>
  <c r="K88" i="1"/>
  <c r="K316" i="1" s="1"/>
  <c r="K471" i="1" s="1"/>
  <c r="J88" i="1"/>
  <c r="J120" i="1" s="1"/>
  <c r="I88" i="1"/>
  <c r="I120" i="1" s="1"/>
  <c r="H88" i="1"/>
  <c r="G88" i="1"/>
  <c r="F88" i="1"/>
  <c r="F120" i="1" s="1"/>
  <c r="K87" i="1"/>
  <c r="K119" i="1" s="1"/>
  <c r="J87" i="1"/>
  <c r="J119" i="1" s="1"/>
  <c r="I87" i="1"/>
  <c r="I119" i="1" s="1"/>
  <c r="H87" i="1"/>
  <c r="G87" i="1"/>
  <c r="G119" i="1" s="1"/>
  <c r="F87" i="1"/>
  <c r="K86" i="1"/>
  <c r="K118" i="1" s="1"/>
  <c r="J86" i="1"/>
  <c r="J118" i="1" s="1"/>
  <c r="I86" i="1"/>
  <c r="H86" i="1"/>
  <c r="H118" i="1" s="1"/>
  <c r="G86" i="1"/>
  <c r="F86" i="1"/>
  <c r="F118" i="1" s="1"/>
  <c r="K85" i="1"/>
  <c r="J85" i="1"/>
  <c r="J117" i="1" s="1"/>
  <c r="I85" i="1"/>
  <c r="H85" i="1"/>
  <c r="G85" i="1"/>
  <c r="G117" i="1" s="1"/>
  <c r="F85" i="1"/>
  <c r="F117" i="1" s="1"/>
  <c r="K84" i="1"/>
  <c r="K312" i="1" s="1"/>
  <c r="K417" i="1" s="1"/>
  <c r="J84" i="1"/>
  <c r="J312" i="1" s="1"/>
  <c r="J417" i="1" s="1"/>
  <c r="I84" i="1"/>
  <c r="I116" i="1" s="1"/>
  <c r="H84" i="1"/>
  <c r="G84" i="1"/>
  <c r="F84" i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K82" i="1"/>
  <c r="K114" i="1" s="1"/>
  <c r="J82" i="1"/>
  <c r="J114" i="1" s="1"/>
  <c r="I82" i="1"/>
  <c r="I114" i="1" s="1"/>
  <c r="H82" i="1"/>
  <c r="H114" i="1" s="1"/>
  <c r="G82" i="1"/>
  <c r="G114" i="1" s="1"/>
  <c r="F82" i="1"/>
  <c r="F114" i="1" s="1"/>
  <c r="K81" i="1"/>
  <c r="K113" i="1" s="1"/>
  <c r="J81" i="1"/>
  <c r="J113" i="1" s="1"/>
  <c r="I81" i="1"/>
  <c r="I113" i="1" s="1"/>
  <c r="H81" i="1"/>
  <c r="H113" i="1" s="1"/>
  <c r="G81" i="1"/>
  <c r="G113" i="1" s="1"/>
  <c r="F81" i="1"/>
  <c r="F113" i="1" s="1"/>
  <c r="K75" i="1"/>
  <c r="J75" i="1"/>
  <c r="I75" i="1"/>
  <c r="H75" i="1"/>
  <c r="G75" i="1"/>
  <c r="F75" i="1"/>
  <c r="K74" i="1"/>
  <c r="J74" i="1"/>
  <c r="I74" i="1"/>
  <c r="H74" i="1"/>
  <c r="G74" i="1"/>
  <c r="F74" i="1"/>
  <c r="K71" i="1"/>
  <c r="K299" i="1" s="1"/>
  <c r="K463" i="1" s="1"/>
  <c r="J71" i="1"/>
  <c r="J299" i="1" s="1"/>
  <c r="J463" i="1" s="1"/>
  <c r="I71" i="1"/>
  <c r="I299" i="1" s="1"/>
  <c r="I463" i="1" s="1"/>
  <c r="H71" i="1"/>
  <c r="H299" i="1" s="1"/>
  <c r="H463" i="1" s="1"/>
  <c r="G71" i="1"/>
  <c r="G299" i="1" s="1"/>
  <c r="G463" i="1" s="1"/>
  <c r="F71" i="1"/>
  <c r="K70" i="1"/>
  <c r="K298" i="1" s="1"/>
  <c r="K411" i="1" s="1"/>
  <c r="J70" i="1"/>
  <c r="J298" i="1" s="1"/>
  <c r="J411" i="1" s="1"/>
  <c r="I70" i="1"/>
  <c r="I298" i="1" s="1"/>
  <c r="I411" i="1" s="1"/>
  <c r="H70" i="1"/>
  <c r="G70" i="1"/>
  <c r="F70" i="1"/>
  <c r="F298" i="1" s="1"/>
  <c r="F411" i="1" s="1"/>
  <c r="K69" i="1"/>
  <c r="J69" i="1"/>
  <c r="I69" i="1"/>
  <c r="H69" i="1"/>
  <c r="G69" i="1"/>
  <c r="F69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3" i="1"/>
  <c r="J63" i="1"/>
  <c r="I63" i="1"/>
  <c r="H63" i="1"/>
  <c r="G63" i="1"/>
  <c r="F63" i="1"/>
  <c r="G2044" i="1" a="1"/>
  <c r="G2044" i="1"/>
  <c r="I2043" i="1" a="1"/>
  <c r="I2043" i="1" s="1"/>
  <c r="K2044" i="1" a="1"/>
  <c r="K2044" i="1" s="1"/>
  <c r="H2044" i="1" a="1"/>
  <c r="H2044" i="1" s="1"/>
  <c r="J2043" i="1" a="1"/>
  <c r="J2043" i="1" s="1"/>
  <c r="G2042" i="1" a="1"/>
  <c r="G2042" i="1" s="1"/>
  <c r="G2043" i="1" a="1"/>
  <c r="G2043" i="1" s="1"/>
  <c r="G2041" i="1" a="1"/>
  <c r="G2041" i="1" s="1"/>
  <c r="I2044" i="1" a="1"/>
  <c r="I2044" i="1" s="1"/>
  <c r="H2041" i="1" a="1"/>
  <c r="H2041" i="1" s="1"/>
  <c r="K2041" i="1" a="1"/>
  <c r="K2041" i="1" s="1"/>
  <c r="J2044" i="1" a="1"/>
  <c r="J2044" i="1" s="1"/>
  <c r="I2041" i="1" a="1"/>
  <c r="I2041" i="1" s="1"/>
  <c r="J2042" i="1" a="1"/>
  <c r="J2042" i="1" s="1"/>
  <c r="J2041" i="1" a="1"/>
  <c r="J2041" i="1" s="1"/>
  <c r="H2042" i="1" a="1"/>
  <c r="H2042" i="1" s="1"/>
  <c r="H2043" i="1" a="1"/>
  <c r="H2043" i="1" s="1"/>
  <c r="I2042" i="1" a="1"/>
  <c r="I2042" i="1" s="1"/>
  <c r="F2042" i="1" a="1"/>
  <c r="F2042" i="1" s="1"/>
  <c r="K2042" i="1" a="1"/>
  <c r="K2042" i="1" s="1"/>
  <c r="F2044" i="1" a="1"/>
  <c r="F2044" i="1" s="1"/>
  <c r="F2043" i="1" a="1"/>
  <c r="F2043" i="1" s="1"/>
  <c r="K2043" i="1" a="1"/>
  <c r="K2043" i="1" s="1"/>
  <c r="F2040" i="1" a="1"/>
  <c r="F2040" i="1" s="1"/>
  <c r="I2040" i="1" a="1"/>
  <c r="I2040" i="1" s="1"/>
  <c r="I2039" i="1" a="1"/>
  <c r="I2039" i="1" s="1"/>
  <c r="J2037" i="1" a="1"/>
  <c r="J2037" i="1" s="1"/>
  <c r="J2036" i="1" a="1"/>
  <c r="J2036" i="1" s="1"/>
  <c r="I2036" i="1" a="1"/>
  <c r="I2036" i="1" s="1"/>
  <c r="I2035" i="1" a="1"/>
  <c r="I2035" i="1" s="1"/>
  <c r="G2031" i="1" a="1"/>
  <c r="G2031" i="1" s="1"/>
  <c r="J2032" i="1" a="1"/>
  <c r="J2032" i="1" s="1"/>
  <c r="H2032" i="1" a="1"/>
  <c r="H2032" i="1" s="1"/>
  <c r="F2032" i="1" a="1"/>
  <c r="F2032" i="1" s="1"/>
  <c r="H2039" i="1" a="1"/>
  <c r="H2039" i="1" s="1"/>
  <c r="J2038" i="1" a="1"/>
  <c r="J2038" i="1" s="1"/>
  <c r="F2039" i="1" a="1"/>
  <c r="F2039" i="1" s="1"/>
  <c r="K2038" i="1" a="1"/>
  <c r="K2038" i="1" s="1"/>
  <c r="H2038" i="1" a="1"/>
  <c r="H2038" i="1" s="1"/>
  <c r="F2036" i="1" a="1"/>
  <c r="F2036" i="1" s="1"/>
  <c r="K2035" i="1" a="1"/>
  <c r="K2035" i="1" s="1"/>
  <c r="F2034" i="1" a="1"/>
  <c r="F2034" i="1" s="1"/>
  <c r="J2031" i="1" a="1"/>
  <c r="J2031" i="1" s="1"/>
  <c r="I2031" i="1" a="1"/>
  <c r="I2031" i="1" s="1"/>
  <c r="K2033" i="1" a="1"/>
  <c r="K2033" i="1"/>
  <c r="G2032" i="1" a="1"/>
  <c r="G2032" i="1" s="1"/>
  <c r="G2038" i="1" a="1"/>
  <c r="G2038" i="1"/>
  <c r="H2031" i="1" a="1"/>
  <c r="H2031" i="1"/>
  <c r="G2037" i="1" a="1"/>
  <c r="G2037" i="1" s="1"/>
  <c r="F2035" i="1" a="1"/>
  <c r="F2035" i="1"/>
  <c r="F2038" i="1" a="1"/>
  <c r="F2038" i="1"/>
  <c r="K2037" i="1" a="1"/>
  <c r="K2037" i="1"/>
  <c r="F2037" i="1" a="1"/>
  <c r="F2037" i="1" s="1"/>
  <c r="K2036" i="1" a="1"/>
  <c r="K2036" i="1"/>
  <c r="G2036" i="1" a="1"/>
  <c r="G2036" i="1" s="1"/>
  <c r="K2034" i="1" a="1"/>
  <c r="K2034" i="1" s="1"/>
  <c r="F2031" i="1" a="1"/>
  <c r="F2031" i="1"/>
  <c r="G2034" i="1" a="1"/>
  <c r="G2034" i="1" s="1"/>
  <c r="F2033" i="1" a="1"/>
  <c r="F2033" i="1"/>
  <c r="I2032" i="1" a="1"/>
  <c r="I2032" i="1"/>
  <c r="I2034" i="1" a="1"/>
  <c r="I2034" i="1" s="1"/>
  <c r="G2040" i="1" a="1"/>
  <c r="G2040" i="1" s="1"/>
  <c r="J2034" i="1" a="1"/>
  <c r="J2034" i="1" s="1"/>
  <c r="F2041" i="1" a="1"/>
  <c r="F2041" i="1" s="1"/>
  <c r="J2039" i="1" a="1"/>
  <c r="J2039" i="1" s="1"/>
  <c r="J2035" i="1" a="1"/>
  <c r="J2035" i="1"/>
  <c r="H2036" i="1" a="1"/>
  <c r="H2036" i="1" s="1"/>
  <c r="H2034" i="1" a="1"/>
  <c r="H2034" i="1"/>
  <c r="K2040" i="1" a="1"/>
  <c r="K2040" i="1"/>
  <c r="G2033" i="1" a="1"/>
  <c r="G2033" i="1" s="1"/>
  <c r="J2040" i="1" a="1"/>
  <c r="J2040" i="1"/>
  <c r="G2039" i="1" a="1"/>
  <c r="G2039" i="1"/>
  <c r="G2035" i="1" a="1"/>
  <c r="G2035" i="1" s="1"/>
  <c r="K2039" i="1" a="1"/>
  <c r="K2039" i="1"/>
  <c r="I2037" i="1" a="1"/>
  <c r="I2037" i="1"/>
  <c r="J2033" i="1" a="1"/>
  <c r="J2033" i="1" s="1"/>
  <c r="H2033" i="1" a="1"/>
  <c r="H2033" i="1" s="1"/>
  <c r="K2032" i="1" a="1"/>
  <c r="K2032" i="1"/>
  <c r="I2033" i="1" a="1"/>
  <c r="I2033" i="1" s="1"/>
  <c r="H2040" i="1" a="1"/>
  <c r="H2040" i="1"/>
  <c r="H2037" i="1" a="1"/>
  <c r="H2037" i="1" s="1"/>
  <c r="K2031" i="1" a="1"/>
  <c r="K2031" i="1" s="1"/>
  <c r="I2038" i="1" a="1"/>
  <c r="I2038" i="1" s="1"/>
  <c r="H2035" i="1" a="1"/>
  <c r="H2035" i="1"/>
  <c r="K2030" i="1" a="1"/>
  <c r="K2030" i="1" s="1"/>
  <c r="K2027" i="1" a="1"/>
  <c r="K2027" i="1"/>
  <c r="H2021" i="1" a="1"/>
  <c r="H2021" i="1" s="1"/>
  <c r="F2020" i="1" a="1"/>
  <c r="F2020" i="1"/>
  <c r="J2030" i="1" a="1"/>
  <c r="J2030" i="1"/>
  <c r="I2030" i="1" a="1"/>
  <c r="I2030" i="1" s="1"/>
  <c r="F2029" i="1" a="1"/>
  <c r="F2029" i="1" s="1"/>
  <c r="H2024" i="1" a="1"/>
  <c r="H2024" i="1" s="1"/>
  <c r="K2021" i="1" a="1"/>
  <c r="K2021" i="1" s="1"/>
  <c r="H2020" i="1" a="1"/>
  <c r="H2020" i="1"/>
  <c r="F2021" i="1" a="1"/>
  <c r="F2021" i="1"/>
  <c r="G2021" i="1" a="1"/>
  <c r="G2021" i="1"/>
  <c r="G2027" i="1" a="1"/>
  <c r="G2027" i="1" s="1"/>
  <c r="F2027" i="1" a="1"/>
  <c r="F2027" i="1"/>
  <c r="H2023" i="1" a="1"/>
  <c r="H2023" i="1" s="1"/>
  <c r="J2020" i="1" a="1"/>
  <c r="J2020" i="1"/>
  <c r="G2030" i="1" a="1"/>
  <c r="G2030" i="1"/>
  <c r="K2029" i="1" a="1"/>
  <c r="K2029" i="1" s="1"/>
  <c r="G2029" i="1" a="1"/>
  <c r="G2029" i="1"/>
  <c r="F2024" i="1" a="1"/>
  <c r="F2024" i="1"/>
  <c r="F2023" i="1" s="1" a="1"/>
  <c r="F2023" i="1" s="1"/>
  <c r="G2020" i="1" a="1"/>
  <c r="G2020" i="1" s="1"/>
  <c r="I2021" i="1" a="1"/>
  <c r="I2021" i="1"/>
  <c r="I2027" i="1" a="1"/>
  <c r="I2027" i="1"/>
  <c r="I2020" i="1" a="1"/>
  <c r="I2020" i="1"/>
  <c r="G2024" i="1" a="1"/>
  <c r="G2024" i="1" s="1"/>
  <c r="G2023" i="1" s="1" a="1"/>
  <c r="G2023" i="1" s="1"/>
  <c r="J2029" i="1" a="1"/>
  <c r="J2029" i="1" s="1"/>
  <c r="I2029" i="1" a="1"/>
  <c r="I2029" i="1" s="1"/>
  <c r="K2026" i="1" a="1"/>
  <c r="K2026" i="1" s="1"/>
  <c r="J2027" i="1" a="1"/>
  <c r="J2027" i="1"/>
  <c r="J2026" i="1" s="1" a="1"/>
  <c r="J2026" i="1" s="1"/>
  <c r="F2026" i="1" a="1"/>
  <c r="F2026" i="1" s="1"/>
  <c r="I2026" i="1" a="1"/>
  <c r="I2026" i="1" s="1"/>
  <c r="H2029" i="1" a="1"/>
  <c r="H2029" i="1"/>
  <c r="K2024" i="1" a="1"/>
  <c r="K2024" i="1" s="1"/>
  <c r="K2023" i="1" s="1" a="1"/>
  <c r="K2023" i="1" s="1"/>
  <c r="J2024" i="1" a="1"/>
  <c r="J2024" i="1"/>
  <c r="J2023" i="1" s="1" a="1"/>
  <c r="J2023" i="1" s="1"/>
  <c r="G2026" i="1" a="1"/>
  <c r="G2026" i="1" s="1"/>
  <c r="K2020" i="1" a="1"/>
  <c r="K2020" i="1"/>
  <c r="H2030" i="1" a="1"/>
  <c r="H2030" i="1" s="1"/>
  <c r="F2030" i="1" a="1"/>
  <c r="F2030" i="1" s="1"/>
  <c r="H2027" i="1" a="1"/>
  <c r="H2027" i="1"/>
  <c r="H2026" i="1" s="1" a="1"/>
  <c r="H2026" i="1" s="1"/>
  <c r="I2024" i="1" a="1"/>
  <c r="I2024" i="1" s="1"/>
  <c r="I2023" i="1" s="1" a="1"/>
  <c r="I2023" i="1" s="1"/>
  <c r="J2021" i="1" a="1"/>
  <c r="J2021" i="1"/>
  <c r="H2018" i="1" a="1"/>
  <c r="H2018" i="1" s="1"/>
  <c r="I2018" i="1" a="1"/>
  <c r="I2018" i="1" s="1"/>
  <c r="F2018" i="1" a="1"/>
  <c r="F2018" i="1" s="1"/>
  <c r="K2018" i="1" a="1"/>
  <c r="K2018" i="1" s="1"/>
  <c r="J2018" i="1" a="1"/>
  <c r="J2018" i="1"/>
  <c r="G2018" i="1" a="1"/>
  <c r="G2018" i="1"/>
  <c r="K1703" i="1" a="1"/>
  <c r="K1703" i="1" s="1"/>
  <c r="F1703" i="1" a="1"/>
  <c r="F1703" i="1" s="1"/>
  <c r="G1704" i="1" a="1"/>
  <c r="G1704" i="1"/>
  <c r="I1704" i="1" a="1"/>
  <c r="I1704" i="1" s="1"/>
  <c r="J1704" i="1" a="1"/>
  <c r="J1704" i="1" s="1"/>
  <c r="G1703" i="1" a="1"/>
  <c r="G1703" i="1"/>
  <c r="H1703" i="1" a="1"/>
  <c r="H1703" i="1"/>
  <c r="F1704" i="1" a="1"/>
  <c r="F1704" i="1"/>
  <c r="I1703" i="1" a="1"/>
  <c r="I1703" i="1"/>
  <c r="H1704" i="1" a="1"/>
  <c r="H1704" i="1" s="1"/>
  <c r="K1704" i="1" a="1"/>
  <c r="K1704" i="1" s="1"/>
  <c r="J1703" i="1" a="1"/>
  <c r="J1703" i="1"/>
  <c r="H725" i="1" a="1"/>
  <c r="H725" i="1" s="1"/>
  <c r="H722" i="1" a="1"/>
  <c r="H722" i="1"/>
  <c r="F717" i="1" a="1"/>
  <c r="F717" i="1" s="1"/>
  <c r="J722" i="1" a="1"/>
  <c r="J722" i="1"/>
  <c r="G725" i="1" a="1"/>
  <c r="G725" i="1" s="1"/>
  <c r="K718" i="1" a="1"/>
  <c r="K718" i="1" s="1"/>
  <c r="G717" i="1" a="1"/>
  <c r="G717" i="1"/>
  <c r="I725" i="1" a="1"/>
  <c r="I725" i="1" s="1"/>
  <c r="F722" i="1" a="1"/>
  <c r="F722" i="1"/>
  <c r="I722" i="1" a="1"/>
  <c r="I722" i="1" s="1"/>
  <c r="I718" i="1" a="1"/>
  <c r="I718" i="1"/>
  <c r="G718" i="1" a="1"/>
  <c r="G718" i="1"/>
  <c r="J717" i="1" a="1"/>
  <c r="J717" i="1"/>
  <c r="H717" i="1" a="1"/>
  <c r="H717" i="1" s="1"/>
  <c r="H718" i="1" a="1"/>
  <c r="H718" i="1"/>
  <c r="J718" i="1" a="1"/>
  <c r="J718" i="1" s="1"/>
  <c r="I717" i="1" a="1"/>
  <c r="I717" i="1"/>
  <c r="J725" i="1" a="1"/>
  <c r="J725" i="1" s="1"/>
  <c r="K722" i="1" a="1"/>
  <c r="K722" i="1"/>
  <c r="F725" i="1" a="1"/>
  <c r="F725" i="1" s="1"/>
  <c r="K725" i="1" a="1"/>
  <c r="K725" i="1"/>
  <c r="K717" i="1" a="1"/>
  <c r="K717" i="1" s="1"/>
  <c r="F718" i="1" a="1"/>
  <c r="F718" i="1" s="1"/>
  <c r="G722" i="1" a="1"/>
  <c r="G722" i="1"/>
  <c r="F716" i="1" a="1"/>
  <c r="F716" i="1"/>
  <c r="J695" i="1" a="1"/>
  <c r="J695" i="1"/>
  <c r="G714" i="1" a="1"/>
  <c r="G714" i="1"/>
  <c r="I709" i="1" a="1"/>
  <c r="I709" i="1" s="1"/>
  <c r="K714" i="1" a="1"/>
  <c r="K714" i="1"/>
  <c r="J714" i="1" a="1"/>
  <c r="J714" i="1" s="1"/>
  <c r="H686" i="1" a="1"/>
  <c r="H686" i="1" s="1"/>
  <c r="G694" i="1" a="1"/>
  <c r="G694" i="1"/>
  <c r="I714" i="1" a="1"/>
  <c r="I714" i="1" s="1"/>
  <c r="F714" i="1" a="1"/>
  <c r="F714" i="1"/>
  <c r="K707" i="1" a="1"/>
  <c r="K707" i="1" s="1"/>
  <c r="J707" i="1" a="1"/>
  <c r="J707" i="1" s="1"/>
  <c r="K686" i="1" a="1"/>
  <c r="K686" i="1" s="1"/>
  <c r="H694" i="1" a="1"/>
  <c r="H694" i="1" s="1"/>
  <c r="K694" i="1" a="1"/>
  <c r="K694" i="1"/>
  <c r="K709" i="1" a="1"/>
  <c r="K709" i="1" s="1"/>
  <c r="F707" i="1" a="1"/>
  <c r="F707" i="1" s="1"/>
  <c r="G707" i="1" a="1"/>
  <c r="G707" i="1" s="1"/>
  <c r="J694" i="1" a="1"/>
  <c r="J694" i="1" s="1"/>
  <c r="J686" i="1" a="1"/>
  <c r="J686" i="1"/>
  <c r="F709" i="1" a="1"/>
  <c r="F709" i="1"/>
  <c r="F695" i="1" a="1"/>
  <c r="F695" i="1"/>
  <c r="I694" i="1" a="1"/>
  <c r="I694" i="1"/>
  <c r="I707" i="1" a="1"/>
  <c r="I707" i="1"/>
  <c r="G686" i="1" a="1"/>
  <c r="G686" i="1" s="1"/>
  <c r="J709" i="1" a="1"/>
  <c r="J709" i="1" s="1"/>
  <c r="G709" i="1" a="1"/>
  <c r="G709" i="1" s="1"/>
  <c r="G695" i="1" a="1"/>
  <c r="G695" i="1" s="1"/>
  <c r="K695" i="1" a="1"/>
  <c r="K695" i="1"/>
  <c r="I716" i="1" a="1"/>
  <c r="I716" i="1" s="1"/>
  <c r="I724" i="1" s="1" a="1"/>
  <c r="I724" i="1" s="1"/>
  <c r="I726" i="1" s="1" a="1"/>
  <c r="I726" i="1" s="1"/>
  <c r="H714" i="1" a="1"/>
  <c r="H714" i="1"/>
  <c r="H695" i="1" a="1"/>
  <c r="H695" i="1" s="1"/>
  <c r="I686" i="1" a="1"/>
  <c r="I686" i="1" s="1"/>
  <c r="H707" i="1" a="1"/>
  <c r="H707" i="1" s="1"/>
  <c r="K716" i="1" a="1"/>
  <c r="K716" i="1" s="1"/>
  <c r="H709" i="1" a="1"/>
  <c r="H709" i="1"/>
  <c r="F694" i="1" a="1"/>
  <c r="F694" i="1" s="1"/>
  <c r="J716" i="1" a="1"/>
  <c r="J716" i="1" s="1"/>
  <c r="I695" i="1" a="1"/>
  <c r="I695" i="1" s="1"/>
  <c r="H716" i="1" a="1"/>
  <c r="H716" i="1" s="1"/>
  <c r="G716" i="1" a="1"/>
  <c r="G716" i="1"/>
  <c r="F685" i="1" a="1"/>
  <c r="F685" i="1"/>
  <c r="J681" i="1" a="1"/>
  <c r="J681" i="1"/>
  <c r="H680" i="1" a="1"/>
  <c r="H680" i="1"/>
  <c r="F681" i="1" a="1"/>
  <c r="F681" i="1"/>
  <c r="F679" i="1" a="1"/>
  <c r="F679" i="1" s="1"/>
  <c r="I685" i="1" a="1"/>
  <c r="I685" i="1" s="1"/>
  <c r="F680" i="1" a="1"/>
  <c r="F680" i="1" s="1"/>
  <c r="H683" i="1" a="1"/>
  <c r="H683" i="1"/>
  <c r="K664" i="1" a="1"/>
  <c r="K664" i="1"/>
  <c r="H685" i="1" a="1"/>
  <c r="H685" i="1" s="1"/>
  <c r="G685" i="1" a="1"/>
  <c r="G685" i="1"/>
  <c r="I681" i="1" a="1"/>
  <c r="I681" i="1"/>
  <c r="H664" i="1" a="1"/>
  <c r="H664" i="1" s="1"/>
  <c r="H681" i="1" a="1"/>
  <c r="H681" i="1" s="1"/>
  <c r="J680" i="1" a="1"/>
  <c r="J680" i="1"/>
  <c r="I680" i="1" a="1"/>
  <c r="I680" i="1" s="1"/>
  <c r="J664" i="1" a="1"/>
  <c r="J664" i="1" s="1"/>
  <c r="K683" i="1" a="1"/>
  <c r="K683" i="1" s="1"/>
  <c r="K681" i="1" a="1"/>
  <c r="K681" i="1" s="1"/>
  <c r="K679" i="1" a="1"/>
  <c r="K679" i="1"/>
  <c r="I683" i="1" a="1"/>
  <c r="I683" i="1"/>
  <c r="K680" i="1" a="1"/>
  <c r="K680" i="1"/>
  <c r="H679" i="1" a="1"/>
  <c r="H679" i="1" s="1"/>
  <c r="F683" i="1" a="1"/>
  <c r="F683" i="1"/>
  <c r="I679" i="1" a="1"/>
  <c r="I679" i="1"/>
  <c r="J679" i="1" a="1"/>
  <c r="J679" i="1" s="1"/>
  <c r="G679" i="1" a="1"/>
  <c r="G679" i="1"/>
  <c r="I664" i="1" a="1"/>
  <c r="I664" i="1" s="1"/>
  <c r="F686" i="1" a="1"/>
  <c r="F686" i="1" s="1"/>
  <c r="K685" i="1" a="1"/>
  <c r="K685" i="1"/>
  <c r="G683" i="1" a="1"/>
  <c r="G683" i="1" s="1"/>
  <c r="G681" i="1" a="1"/>
  <c r="G681" i="1"/>
  <c r="G680" i="1" a="1"/>
  <c r="G680" i="1"/>
  <c r="J683" i="1" a="1"/>
  <c r="J683" i="1" s="1"/>
  <c r="J685" i="1" a="1"/>
  <c r="J685" i="1" s="1"/>
  <c r="G663" i="1" a="1"/>
  <c r="G663" i="1" s="1"/>
  <c r="F663" i="1" a="1"/>
  <c r="F663" i="1" s="1"/>
  <c r="J651" i="1" a="1"/>
  <c r="J651" i="1" s="1"/>
  <c r="F651" i="1" a="1"/>
  <c r="F651" i="1"/>
  <c r="F662" i="1" a="1"/>
  <c r="F662" i="1" s="1"/>
  <c r="I651" i="1" a="1"/>
  <c r="I651" i="1" s="1"/>
  <c r="H650" i="1" a="1"/>
  <c r="H650" i="1"/>
  <c r="I650" i="1" a="1"/>
  <c r="I650" i="1" s="1"/>
  <c r="F650" i="1" a="1"/>
  <c r="F650" i="1" s="1"/>
  <c r="H647" i="1" a="1"/>
  <c r="H647" i="1"/>
  <c r="K646" i="1" a="1"/>
  <c r="K646" i="1" s="1"/>
  <c r="G646" i="1" a="1"/>
  <c r="G646" i="1" s="1"/>
  <c r="F648" i="1" a="1"/>
  <c r="F648" i="1"/>
  <c r="K662" i="1" a="1"/>
  <c r="K662" i="1" s="1"/>
  <c r="I662" i="1" a="1"/>
  <c r="I662" i="1"/>
  <c r="H651" i="1" a="1"/>
  <c r="H651" i="1"/>
  <c r="J648" i="1" a="1"/>
  <c r="J648" i="1" s="1"/>
  <c r="F647" i="1" a="1"/>
  <c r="F647" i="1"/>
  <c r="H646" i="1" a="1"/>
  <c r="H646" i="1" s="1"/>
  <c r="K648" i="1" a="1"/>
  <c r="K648" i="1" s="1"/>
  <c r="J646" i="1" a="1"/>
  <c r="J646" i="1" s="1"/>
  <c r="I647" i="1" a="1"/>
  <c r="I647" i="1"/>
  <c r="G650" i="1" a="1"/>
  <c r="G650" i="1" s="1"/>
  <c r="F646" i="1" a="1"/>
  <c r="F646" i="1" s="1"/>
  <c r="H662" i="1" a="1"/>
  <c r="H662" i="1"/>
  <c r="J650" i="1" a="1"/>
  <c r="J650" i="1" s="1"/>
  <c r="J647" i="1" a="1"/>
  <c r="J647" i="1"/>
  <c r="I646" i="1" a="1"/>
  <c r="I646" i="1"/>
  <c r="K647" i="1" a="1"/>
  <c r="K647" i="1" s="1"/>
  <c r="H648" i="1" a="1"/>
  <c r="H648" i="1" s="1"/>
  <c r="K651" i="1" a="1"/>
  <c r="K651" i="1" s="1"/>
  <c r="G647" i="1" a="1"/>
  <c r="G647" i="1" s="1"/>
  <c r="H645" i="1" a="1"/>
  <c r="H645" i="1" s="1"/>
  <c r="J662" i="1" a="1"/>
  <c r="J662" i="1"/>
  <c r="K650" i="1" a="1"/>
  <c r="K650" i="1"/>
  <c r="J645" i="1" a="1"/>
  <c r="J645" i="1"/>
  <c r="I645" i="1" a="1"/>
  <c r="I645" i="1"/>
  <c r="G664" i="1" a="1"/>
  <c r="G664" i="1" s="1"/>
  <c r="I663" i="1" a="1"/>
  <c r="I663" i="1"/>
  <c r="G662" i="1" a="1"/>
  <c r="G662" i="1"/>
  <c r="I648" i="1" a="1"/>
  <c r="I648" i="1" s="1"/>
  <c r="F664" i="1" a="1"/>
  <c r="F664" i="1"/>
  <c r="K663" i="1" a="1"/>
  <c r="K663" i="1"/>
  <c r="J663" i="1" a="1"/>
  <c r="J663" i="1" s="1"/>
  <c r="G651" i="1" a="1"/>
  <c r="G651" i="1" s="1"/>
  <c r="G648" i="1" a="1"/>
  <c r="G648" i="1"/>
  <c r="K645" i="1" a="1"/>
  <c r="K645" i="1" s="1"/>
  <c r="H663" i="1" a="1"/>
  <c r="H663" i="1"/>
  <c r="I635" i="1" a="1"/>
  <c r="I635" i="1"/>
  <c r="H640" i="1" a="1"/>
  <c r="H640" i="1"/>
  <c r="F638" i="1" a="1"/>
  <c r="F638" i="1" s="1"/>
  <c r="G635" i="1" a="1"/>
  <c r="G635" i="1"/>
  <c r="G637" i="1" a="1"/>
  <c r="G637" i="1" s="1"/>
  <c r="G640" i="1" a="1"/>
  <c r="G640" i="1" s="1"/>
  <c r="G645" i="1" a="1"/>
  <c r="G645" i="1"/>
  <c r="F645" i="1" a="1"/>
  <c r="F645" i="1" s="1"/>
  <c r="I638" i="1" a="1"/>
  <c r="I638" i="1"/>
  <c r="I643" i="1" a="1"/>
  <c r="I643" i="1"/>
  <c r="I641" i="1" a="1"/>
  <c r="I641" i="1" s="1"/>
  <c r="H637" i="1" a="1"/>
  <c r="H637" i="1"/>
  <c r="J643" i="1" a="1"/>
  <c r="J643" i="1" s="1"/>
  <c r="K637" i="1" a="1"/>
  <c r="K637" i="1"/>
  <c r="I637" i="1" a="1"/>
  <c r="I637" i="1" s="1"/>
  <c r="K636" i="1" a="1"/>
  <c r="K636" i="1"/>
  <c r="J635" i="1" a="1"/>
  <c r="J635" i="1" s="1"/>
  <c r="F637" i="1" a="1"/>
  <c r="F637" i="1" s="1"/>
  <c r="H636" i="1" a="1"/>
  <c r="H636" i="1"/>
  <c r="F640" i="1" a="1"/>
  <c r="F640" i="1" s="1"/>
  <c r="H643" i="1" a="1"/>
  <c r="H643" i="1" s="1"/>
  <c r="G638" i="1" a="1"/>
  <c r="G638" i="1"/>
  <c r="I640" i="1" a="1"/>
  <c r="I640" i="1" s="1"/>
  <c r="F635" i="1" a="1"/>
  <c r="F635" i="1"/>
  <c r="J641" i="1" a="1"/>
  <c r="J641" i="1" s="1"/>
  <c r="H635" i="1" a="1"/>
  <c r="H635" i="1" s="1"/>
  <c r="J638" i="1" a="1"/>
  <c r="J638" i="1" s="1"/>
  <c r="K641" i="1" a="1"/>
  <c r="K641" i="1"/>
  <c r="G641" i="1" a="1"/>
  <c r="G641" i="1" s="1"/>
  <c r="J640" i="1" a="1"/>
  <c r="J640" i="1" s="1"/>
  <c r="F636" i="1" a="1"/>
  <c r="F636" i="1"/>
  <c r="K638" i="1" a="1"/>
  <c r="K638" i="1" s="1"/>
  <c r="G636" i="1" a="1"/>
  <c r="G636" i="1" s="1"/>
  <c r="K640" i="1" a="1"/>
  <c r="K640" i="1"/>
  <c r="H638" i="1" a="1"/>
  <c r="H638" i="1"/>
  <c r="F643" i="1" a="1"/>
  <c r="F643" i="1"/>
  <c r="K643" i="1" a="1"/>
  <c r="K643" i="1"/>
  <c r="H641" i="1" a="1"/>
  <c r="H641" i="1" s="1"/>
  <c r="G643" i="1" a="1"/>
  <c r="G643" i="1"/>
  <c r="K635" i="1" a="1"/>
  <c r="K635" i="1"/>
  <c r="J636" i="1" a="1"/>
  <c r="J636" i="1" s="1"/>
  <c r="J637" i="1" a="1"/>
  <c r="J637" i="1" s="1"/>
  <c r="I636" i="1" a="1"/>
  <c r="I636" i="1" s="1"/>
  <c r="F641" i="1" a="1"/>
  <c r="F641" i="1"/>
  <c r="J623" i="1" a="1"/>
  <c r="J623" i="1"/>
  <c r="F633" i="1" a="1"/>
  <c r="F633" i="1" s="1"/>
  <c r="I628" i="1" a="1"/>
  <c r="I628" i="1" s="1"/>
  <c r="G627" i="1" a="1"/>
  <c r="G627" i="1"/>
  <c r="F628" i="1" a="1"/>
  <c r="F628" i="1"/>
  <c r="H628" i="1" a="1"/>
  <c r="H628" i="1" s="1"/>
  <c r="J630" i="1" a="1"/>
  <c r="J630" i="1" s="1"/>
  <c r="I630" i="1" a="1"/>
  <c r="I630" i="1"/>
  <c r="G626" i="1" a="1"/>
  <c r="G626" i="1" s="1"/>
  <c r="G623" i="1" a="1"/>
  <c r="G623" i="1"/>
  <c r="J627" i="1" a="1"/>
  <c r="J627" i="1" s="1"/>
  <c r="G625" i="1" a="1"/>
  <c r="G625" i="1"/>
  <c r="J621" i="1" a="1"/>
  <c r="J621" i="1" s="1"/>
  <c r="H627" i="1" a="1"/>
  <c r="H627" i="1"/>
  <c r="J628" i="1" a="1"/>
  <c r="J628" i="1"/>
  <c r="F626" i="1" a="1"/>
  <c r="F626" i="1"/>
  <c r="I631" i="1" a="1"/>
  <c r="I631" i="1" s="1"/>
  <c r="K621" i="1" a="1"/>
  <c r="K621" i="1"/>
  <c r="I623" i="1" a="1"/>
  <c r="I623" i="1" s="1"/>
  <c r="K630" i="1" a="1"/>
  <c r="K630" i="1"/>
  <c r="I621" i="1" a="1"/>
  <c r="I621" i="1"/>
  <c r="I627" i="1" a="1"/>
  <c r="I627" i="1" s="1"/>
  <c r="J625" i="1" a="1"/>
  <c r="J625" i="1" s="1"/>
  <c r="I625" i="1" a="1"/>
  <c r="I625" i="1"/>
  <c r="H630" i="1" a="1"/>
  <c r="H630" i="1"/>
  <c r="H626" i="1" a="1"/>
  <c r="H626" i="1"/>
  <c r="H623" i="1" a="1"/>
  <c r="H623" i="1"/>
  <c r="K625" i="1" a="1"/>
  <c r="K625" i="1"/>
  <c r="F627" i="1" a="1"/>
  <c r="F627" i="1" s="1"/>
  <c r="J631" i="1" a="1"/>
  <c r="J631" i="1"/>
  <c r="H631" i="1" a="1"/>
  <c r="H631" i="1" s="1"/>
  <c r="G631" i="1" a="1"/>
  <c r="G631" i="1"/>
  <c r="F630" i="1" a="1"/>
  <c r="F630" i="1" s="1"/>
  <c r="K628" i="1" a="1"/>
  <c r="K628" i="1"/>
  <c r="K627" i="1" a="1"/>
  <c r="K627" i="1"/>
  <c r="J626" i="1" a="1"/>
  <c r="J626" i="1"/>
  <c r="F625" i="1" a="1"/>
  <c r="F625" i="1"/>
  <c r="K631" i="1" a="1"/>
  <c r="K631" i="1"/>
  <c r="F631" i="1" a="1"/>
  <c r="F631" i="1" s="1"/>
  <c r="G630" i="1" a="1"/>
  <c r="G630" i="1"/>
  <c r="H621" i="1" a="1"/>
  <c r="H621" i="1"/>
  <c r="G628" i="1" a="1"/>
  <c r="G628" i="1" s="1"/>
  <c r="K626" i="1" a="1"/>
  <c r="K626" i="1" s="1"/>
  <c r="I626" i="1" a="1"/>
  <c r="I626" i="1"/>
  <c r="K623" i="1" a="1"/>
  <c r="K623" i="1"/>
  <c r="F623" i="1" a="1"/>
  <c r="F623" i="1"/>
  <c r="H625" i="1" a="1"/>
  <c r="H625" i="1" s="1"/>
  <c r="K633" i="1" a="1"/>
  <c r="K633" i="1"/>
  <c r="J633" i="1" a="1"/>
  <c r="J633" i="1" s="1"/>
  <c r="I633" i="1" a="1"/>
  <c r="I633" i="1"/>
  <c r="H633" i="1" a="1"/>
  <c r="H633" i="1"/>
  <c r="G633" i="1" a="1"/>
  <c r="G633" i="1"/>
  <c r="J617" i="1" a="1"/>
  <c r="J617" i="1" s="1"/>
  <c r="K615" i="1" a="1"/>
  <c r="K615" i="1" s="1"/>
  <c r="H615" i="1" a="1"/>
  <c r="H615" i="1" s="1"/>
  <c r="J604" i="1" a="1"/>
  <c r="J604" i="1" s="1"/>
  <c r="I604" i="1" a="1"/>
  <c r="I604" i="1" s="1"/>
  <c r="G617" i="1" a="1"/>
  <c r="G617" i="1"/>
  <c r="H616" i="1" a="1"/>
  <c r="H616" i="1" s="1"/>
  <c r="G615" i="1" a="1"/>
  <c r="G615" i="1" s="1"/>
  <c r="J607" i="1" a="1"/>
  <c r="J607" i="1" s="1"/>
  <c r="G607" i="1" a="1"/>
  <c r="G607" i="1" s="1"/>
  <c r="H605" i="1" a="1"/>
  <c r="H605" i="1" s="1"/>
  <c r="K608" i="1" a="1"/>
  <c r="K608" i="1" s="1"/>
  <c r="K604" i="1" a="1"/>
  <c r="K604" i="1" s="1"/>
  <c r="G618" i="1" a="1"/>
  <c r="G618" i="1" s="1"/>
  <c r="F616" i="1" a="1"/>
  <c r="F616" i="1" s="1"/>
  <c r="G616" i="1" a="1"/>
  <c r="G616" i="1" s="1"/>
  <c r="F615" i="1" a="1"/>
  <c r="F615" i="1" s="1"/>
  <c r="J608" i="1" a="1"/>
  <c r="J608" i="1" s="1"/>
  <c r="F608" i="1" a="1"/>
  <c r="F608" i="1" s="1"/>
  <c r="H607" i="1" a="1"/>
  <c r="H607" i="1" s="1"/>
  <c r="I605" i="1" a="1"/>
  <c r="I605" i="1" s="1"/>
  <c r="J605" i="1" a="1"/>
  <c r="J605" i="1" s="1"/>
  <c r="G605" i="1" a="1"/>
  <c r="G605" i="1" s="1"/>
  <c r="F607" i="1" a="1"/>
  <c r="F607" i="1" s="1"/>
  <c r="K617" i="1" a="1"/>
  <c r="K617" i="1" s="1"/>
  <c r="K607" i="1" a="1"/>
  <c r="K607" i="1" s="1"/>
  <c r="F617" i="1" a="1"/>
  <c r="F617" i="1" s="1"/>
  <c r="J616" i="1" a="1"/>
  <c r="J616" i="1" s="1"/>
  <c r="K605" i="1" a="1"/>
  <c r="K605" i="1" s="1"/>
  <c r="J618" i="1" a="1"/>
  <c r="J618" i="1" s="1"/>
  <c r="J615" i="1" a="1"/>
  <c r="J615" i="1" s="1"/>
  <c r="I618" i="1" a="1"/>
  <c r="I618" i="1" s="1"/>
  <c r="H617" i="1" a="1"/>
  <c r="H617" i="1" s="1"/>
  <c r="H618" i="1" a="1"/>
  <c r="H618" i="1" s="1"/>
  <c r="I617" i="1" a="1"/>
  <c r="I617" i="1" s="1"/>
  <c r="K616" i="1" a="1"/>
  <c r="K616" i="1" s="1"/>
  <c r="I616" i="1" a="1"/>
  <c r="I616" i="1" s="1"/>
  <c r="I607" i="1" a="1"/>
  <c r="I607" i="1" s="1"/>
  <c r="F605" i="1" a="1"/>
  <c r="F605" i="1" s="1"/>
  <c r="G621" i="1" a="1"/>
  <c r="G621" i="1" s="1"/>
  <c r="F621" i="1" a="1"/>
  <c r="F621" i="1" s="1"/>
  <c r="G608" i="1" a="1"/>
  <c r="G608" i="1" s="1"/>
  <c r="F620" i="1" a="1"/>
  <c r="F620" i="1" s="1"/>
  <c r="K620" i="1" a="1"/>
  <c r="K620" i="1" s="1"/>
  <c r="J620" i="1" a="1"/>
  <c r="J620" i="1" s="1"/>
  <c r="I615" i="1" a="1"/>
  <c r="I615" i="1" s="1"/>
  <c r="H620" i="1" a="1"/>
  <c r="H620" i="1" s="1"/>
  <c r="H604" i="1" a="1"/>
  <c r="H604" i="1" s="1"/>
  <c r="I620" i="1" a="1"/>
  <c r="I620" i="1" s="1"/>
  <c r="G620" i="1" a="1"/>
  <c r="G620" i="1" s="1"/>
  <c r="H608" i="1" a="1"/>
  <c r="H608" i="1" s="1"/>
  <c r="I608" i="1" a="1"/>
  <c r="I608" i="1" s="1"/>
  <c r="K618" i="1" a="1"/>
  <c r="K618" i="1" s="1"/>
  <c r="F618" i="1" a="1"/>
  <c r="F618" i="1" s="1"/>
  <c r="G586" i="1" a="1"/>
  <c r="G586" i="1" s="1"/>
  <c r="H591" i="1" a="1"/>
  <c r="H591" i="1" s="1"/>
  <c r="F591" i="1" a="1"/>
  <c r="F591" i="1" s="1"/>
  <c r="J587" i="1" a="1"/>
  <c r="J587" i="1" s="1"/>
  <c r="J586" i="1" a="1"/>
  <c r="J586" i="1" s="1"/>
  <c r="G587" i="1" a="1"/>
  <c r="G587" i="1" s="1"/>
  <c r="I587" i="1" a="1"/>
  <c r="I587" i="1" s="1"/>
  <c r="K591" i="1" a="1"/>
  <c r="K591" i="1" s="1"/>
  <c r="G593" i="1" a="1"/>
  <c r="G593" i="1" s="1"/>
  <c r="J594" i="1" a="1"/>
  <c r="J594" i="1" s="1"/>
  <c r="K583" i="1" a="1"/>
  <c r="K583" i="1" s="1"/>
  <c r="H600" i="1" a="1"/>
  <c r="H600" i="1" s="1"/>
  <c r="K593" i="1" a="1"/>
  <c r="K593" i="1" s="1"/>
  <c r="I594" i="1" a="1"/>
  <c r="I594" i="1" s="1"/>
  <c r="J591" i="1" a="1"/>
  <c r="J591" i="1" s="1"/>
  <c r="F586" i="1" a="1"/>
  <c r="F586" i="1" s="1"/>
  <c r="K601" i="1" a="1"/>
  <c r="K601" i="1" s="1"/>
  <c r="J601" i="1" a="1"/>
  <c r="J601" i="1" s="1"/>
  <c r="J593" i="1" a="1"/>
  <c r="J593" i="1" s="1"/>
  <c r="K594" i="1" a="1"/>
  <c r="K594" i="1" s="1"/>
  <c r="G600" i="1" a="1"/>
  <c r="G600" i="1" s="1"/>
  <c r="I593" i="1" a="1"/>
  <c r="I593" i="1" s="1"/>
  <c r="H590" i="1" a="1"/>
  <c r="H590" i="1" s="1"/>
  <c r="I586" i="1" a="1"/>
  <c r="I586" i="1" s="1"/>
  <c r="I601" i="1" a="1"/>
  <c r="I601" i="1" s="1"/>
  <c r="H586" i="1" a="1"/>
  <c r="H586" i="1" s="1"/>
  <c r="H593" i="1" a="1"/>
  <c r="H593" i="1" s="1"/>
  <c r="I590" i="1" a="1"/>
  <c r="I590" i="1" s="1"/>
  <c r="K586" i="1" a="1"/>
  <c r="K586" i="1" s="1"/>
  <c r="J600" i="1" a="1"/>
  <c r="J600" i="1" s="1"/>
  <c r="G594" i="1" a="1"/>
  <c r="G594" i="1" s="1"/>
  <c r="K587" i="1" a="1"/>
  <c r="K587" i="1" s="1"/>
  <c r="H601" i="1" a="1"/>
  <c r="H601" i="1" s="1"/>
  <c r="I600" i="1" a="1"/>
  <c r="I600" i="1" s="1"/>
  <c r="H594" i="1" a="1"/>
  <c r="H594" i="1" s="1"/>
  <c r="F590" i="1" a="1"/>
  <c r="F590" i="1" s="1"/>
  <c r="G590" i="1" a="1"/>
  <c r="G590" i="1" s="1"/>
  <c r="F594" i="1" a="1"/>
  <c r="F594" i="1" s="1"/>
  <c r="G604" i="1" a="1"/>
  <c r="G604" i="1" s="1"/>
  <c r="F604" i="1" a="1"/>
  <c r="F604" i="1" s="1"/>
  <c r="F600" i="1" a="1"/>
  <c r="F600" i="1" s="1"/>
  <c r="J590" i="1" a="1"/>
  <c r="J590" i="1" s="1"/>
  <c r="G601" i="1" a="1"/>
  <c r="G601" i="1" s="1"/>
  <c r="F601" i="1" a="1"/>
  <c r="F601" i="1" s="1"/>
  <c r="G591" i="1" a="1"/>
  <c r="G591" i="1" s="1"/>
  <c r="H587" i="1" a="1"/>
  <c r="H587" i="1" s="1"/>
  <c r="K600" i="1" a="1"/>
  <c r="K600" i="1" s="1"/>
  <c r="F593" i="1" a="1"/>
  <c r="F593" i="1" s="1"/>
  <c r="I591" i="1" a="1"/>
  <c r="I591" i="1" s="1"/>
  <c r="K590" i="1" a="1"/>
  <c r="K590" i="1" s="1"/>
  <c r="F587" i="1" a="1"/>
  <c r="F587" i="1" s="1"/>
  <c r="J582" i="1" a="1"/>
  <c r="J582" i="1" s="1"/>
  <c r="H582" i="1" a="1"/>
  <c r="H582" i="1" s="1"/>
  <c r="F582" i="1" a="1"/>
  <c r="F582" i="1" s="1"/>
  <c r="I583" i="1" a="1"/>
  <c r="I583" i="1" s="1"/>
  <c r="J583" i="1" a="1"/>
  <c r="J583" i="1" s="1"/>
  <c r="H583" i="1" a="1"/>
  <c r="H583" i="1" s="1"/>
  <c r="G583" i="1" a="1"/>
  <c r="G583" i="1" s="1"/>
  <c r="F583" i="1" a="1"/>
  <c r="F583" i="1" s="1"/>
  <c r="K582" i="1" a="1"/>
  <c r="K582" i="1" s="1"/>
  <c r="I582" i="1" a="1"/>
  <c r="I582" i="1" s="1"/>
  <c r="G582" i="1" a="1"/>
  <c r="G582" i="1" s="1"/>
  <c r="F30" i="1" a="1"/>
  <c r="F30" i="1" s="1"/>
  <c r="I30" i="1" a="1"/>
  <c r="I30" i="1" s="1"/>
  <c r="K30" i="1" a="1"/>
  <c r="K30" i="1" s="1"/>
  <c r="H30" i="1" a="1"/>
  <c r="H30" i="1" s="1"/>
  <c r="F31" i="1" a="1"/>
  <c r="F31" i="1" s="1"/>
  <c r="J31" i="1" a="1"/>
  <c r="J31" i="1" s="1"/>
  <c r="I31" i="1" a="1"/>
  <c r="I31" i="1" s="1"/>
  <c r="J30" i="1" a="1"/>
  <c r="J30" i="1" s="1"/>
  <c r="G31" i="1" a="1"/>
  <c r="G31" i="1" s="1"/>
  <c r="H31" i="1" a="1"/>
  <c r="H31" i="1" s="1"/>
  <c r="K31" i="1" a="1"/>
  <c r="K31" i="1" s="1"/>
  <c r="G30" i="1" a="1"/>
  <c r="G30" i="1" s="1"/>
  <c r="K741" i="1" a="1"/>
  <c r="K741" i="1" s="1"/>
  <c r="I738" i="1" a="1"/>
  <c r="I738" i="1" s="1"/>
  <c r="J741" i="1" a="1"/>
  <c r="J741" i="1" s="1"/>
  <c r="H738" i="1" a="1"/>
  <c r="H738" i="1" s="1"/>
  <c r="H741" i="1" a="1"/>
  <c r="H741" i="1" s="1"/>
  <c r="I741" i="1" a="1"/>
  <c r="I741" i="1" s="1"/>
  <c r="G740" i="1" a="1"/>
  <c r="G740" i="1" s="1"/>
  <c r="G742" i="1" s="1" a="1"/>
  <c r="G742" i="1" s="1"/>
  <c r="G738" i="1" a="1"/>
  <c r="G738" i="1" s="1"/>
  <c r="G741" i="1" a="1"/>
  <c r="G741" i="1" s="1"/>
  <c r="K738" i="1" a="1"/>
  <c r="K738" i="1" s="1"/>
  <c r="F738" i="1" a="1"/>
  <c r="F738" i="1" s="1"/>
  <c r="F741" i="1" a="1"/>
  <c r="F741" i="1" s="1"/>
  <c r="J738" i="1" a="1"/>
  <c r="J738" i="1" s="1"/>
  <c r="K19" i="1"/>
  <c r="K18" i="1" s="1"/>
  <c r="J19" i="1"/>
  <c r="J18" i="1" s="1"/>
  <c r="I19" i="1"/>
  <c r="H19" i="1"/>
  <c r="H18" i="1" s="1"/>
  <c r="G19" i="1"/>
  <c r="G18" i="1" s="1"/>
  <c r="F19" i="1"/>
  <c r="F18" i="1" s="1"/>
  <c r="I18" i="1"/>
  <c r="G282" i="1" a="1"/>
  <c r="G282" i="1" s="1"/>
  <c r="G281" i="1" s="1"/>
  <c r="I273" i="1" a="1"/>
  <c r="I273" i="1" s="1"/>
  <c r="I272" i="1" s="1"/>
  <c r="G240" i="1" a="1"/>
  <c r="G240" i="1" s="1"/>
  <c r="I240" i="1" a="1"/>
  <c r="I240" i="1" s="1"/>
  <c r="H240" i="1" a="1"/>
  <c r="H240" i="1" s="1"/>
  <c r="I282" i="1" a="1"/>
  <c r="I282" i="1" s="1"/>
  <c r="I281" i="1" s="1"/>
  <c r="F240" i="1" a="1"/>
  <c r="F240" i="1" s="1"/>
  <c r="J282" i="1" a="1"/>
  <c r="J282" i="1" s="1"/>
  <c r="J281" i="1" s="1"/>
  <c r="J273" i="1" a="1"/>
  <c r="J273" i="1" s="1"/>
  <c r="J272" i="1" s="1"/>
  <c r="F273" i="1" a="1"/>
  <c r="F273" i="1" s="1"/>
  <c r="J240" i="1" a="1"/>
  <c r="J240" i="1" s="1"/>
  <c r="F282" i="1" a="1"/>
  <c r="F282" i="1" s="1"/>
  <c r="F281" i="1" s="1"/>
  <c r="G273" i="1" a="1"/>
  <c r="G273" i="1" s="1"/>
  <c r="G272" i="1" s="1"/>
  <c r="K273" i="1" a="1"/>
  <c r="K273" i="1" s="1"/>
  <c r="H273" i="1" a="1"/>
  <c r="H273" i="1" s="1"/>
  <c r="H272" i="1" s="1"/>
  <c r="K282" i="1" a="1"/>
  <c r="K282" i="1" s="1"/>
  <c r="K281" i="1" s="1"/>
  <c r="H282" i="1" a="1"/>
  <c r="H282" i="1" s="1"/>
  <c r="H281" i="1" s="1"/>
  <c r="K240" i="1" a="1"/>
  <c r="K240" i="1" s="1"/>
  <c r="K239" i="1" s="1"/>
  <c r="J197" i="1" a="1"/>
  <c r="J197" i="1" s="1"/>
  <c r="J196" i="1" s="1"/>
  <c r="F197" i="1" a="1"/>
  <c r="F197" i="1" s="1"/>
  <c r="H197" i="1" a="1"/>
  <c r="H197" i="1" s="1"/>
  <c r="H196" i="1" s="1"/>
  <c r="I197" i="1" a="1"/>
  <c r="I197" i="1" s="1"/>
  <c r="I196" i="1" s="1"/>
  <c r="G197" i="1" a="1"/>
  <c r="G197" i="1" s="1"/>
  <c r="G196" i="1" s="1"/>
  <c r="K197" i="1" a="1"/>
  <c r="K197" i="1" s="1"/>
  <c r="K196" i="1" s="1"/>
  <c r="I58" i="1" a="1"/>
  <c r="I58" i="1" s="1"/>
  <c r="H60" i="1" a="1"/>
  <c r="H60" i="1" s="1"/>
  <c r="K59" i="1" a="1"/>
  <c r="K59" i="1" s="1"/>
  <c r="H58" i="1" a="1"/>
  <c r="H58" i="1" s="1"/>
  <c r="I53" i="1" a="1"/>
  <c r="I53" i="1" s="1"/>
  <c r="G58" i="1" a="1"/>
  <c r="G58" i="1" s="1"/>
  <c r="J58" i="1" a="1"/>
  <c r="J58" i="1" s="1"/>
  <c r="K60" i="1" a="1"/>
  <c r="K60" i="1" s="1"/>
  <c r="G60" i="1" a="1"/>
  <c r="G60" i="1" s="1"/>
  <c r="J59" i="1" a="1"/>
  <c r="J59" i="1" s="1"/>
  <c r="G59" i="1" a="1"/>
  <c r="G59" i="1" s="1"/>
  <c r="J57" i="1" a="1"/>
  <c r="J57" i="1" s="1"/>
  <c r="F57" i="1" a="1"/>
  <c r="F57" i="1" s="1"/>
  <c r="G57" i="1" a="1"/>
  <c r="G57" i="1" s="1"/>
  <c r="I60" i="1" a="1"/>
  <c r="I60" i="1" s="1"/>
  <c r="I59" i="1" a="1"/>
  <c r="I59" i="1" s="1"/>
  <c r="F59" i="1" a="1"/>
  <c r="F59" i="1" s="1"/>
  <c r="K58" i="1" a="1"/>
  <c r="K58" i="1" s="1"/>
  <c r="K57" i="1" a="1"/>
  <c r="K57" i="1" s="1"/>
  <c r="G53" i="1" a="1"/>
  <c r="G53" i="1" s="1"/>
  <c r="I57" i="1" a="1"/>
  <c r="I57" i="1" s="1"/>
  <c r="H53" i="1" a="1"/>
  <c r="H53" i="1" s="1"/>
  <c r="J53" i="1" a="1"/>
  <c r="J53" i="1" s="1"/>
  <c r="J60" i="1" a="1"/>
  <c r="J60" i="1" s="1"/>
  <c r="K53" i="1" a="1"/>
  <c r="K53" i="1" s="1"/>
  <c r="F58" i="1" a="1"/>
  <c r="F58" i="1" s="1"/>
  <c r="H57" i="1" a="1"/>
  <c r="H57" i="1" s="1"/>
  <c r="H59" i="1" a="1"/>
  <c r="H59" i="1" s="1"/>
  <c r="F60" i="1" a="1"/>
  <c r="F60" i="1" s="1"/>
  <c r="J51" i="1" a="1"/>
  <c r="J51" i="1" s="1"/>
  <c r="H51" i="1" a="1"/>
  <c r="H51" i="1" s="1"/>
  <c r="J50" i="1" a="1"/>
  <c r="J50" i="1" s="1"/>
  <c r="I50" i="1" a="1"/>
  <c r="I50" i="1" s="1"/>
  <c r="F51" i="1" a="1"/>
  <c r="F51" i="1" s="1"/>
  <c r="F50" i="1" a="1"/>
  <c r="F50" i="1" s="1"/>
  <c r="I51" i="1" a="1"/>
  <c r="I51" i="1" s="1"/>
  <c r="G51" i="1" a="1"/>
  <c r="G51" i="1" s="1"/>
  <c r="K50" i="1" a="1"/>
  <c r="K50" i="1" s="1"/>
  <c r="H50" i="1" a="1"/>
  <c r="H50" i="1" s="1"/>
  <c r="F53" i="1" a="1"/>
  <c r="F53" i="1" s="1"/>
  <c r="H52" i="1" a="1"/>
  <c r="H52" i="1" s="1"/>
  <c r="K52" i="1" a="1"/>
  <c r="K52" i="1" s="1"/>
  <c r="J52" i="1" a="1"/>
  <c r="J52" i="1" s="1"/>
  <c r="I52" i="1" a="1"/>
  <c r="I52" i="1" s="1"/>
  <c r="G50" i="1" a="1"/>
  <c r="G50" i="1" s="1"/>
  <c r="G52" i="1" a="1"/>
  <c r="G52" i="1" s="1"/>
  <c r="F52" i="1" a="1"/>
  <c r="F52" i="1" s="1"/>
  <c r="K51" i="1" a="1"/>
  <c r="K51" i="1" s="1"/>
  <c r="H15" i="1" a="1"/>
  <c r="H15" i="1" s="1"/>
  <c r="G15" i="1" a="1"/>
  <c r="G15" i="1" s="1"/>
  <c r="I14" i="1" a="1"/>
  <c r="I14" i="1" s="1"/>
  <c r="F15" i="1" a="1"/>
  <c r="F15" i="1" s="1"/>
  <c r="I15" i="1" a="1"/>
  <c r="I15" i="1" s="1"/>
  <c r="K15" i="1" a="1"/>
  <c r="K15" i="1" s="1"/>
  <c r="K14" i="1" a="1"/>
  <c r="K14" i="1" s="1"/>
  <c r="G14" i="1" a="1"/>
  <c r="G14" i="1" s="1"/>
  <c r="J15" i="1" a="1"/>
  <c r="J15" i="1" s="1"/>
  <c r="H14" i="1" a="1"/>
  <c r="H14" i="1" s="1"/>
  <c r="J14" i="1" a="1"/>
  <c r="J14" i="1" s="1"/>
  <c r="F14" i="1" a="1"/>
  <c r="F14" i="1" s="1"/>
  <c r="K13" i="1" a="1"/>
  <c r="K13" i="1" s="1"/>
  <c r="J13" i="1" a="1"/>
  <c r="J13" i="1" s="1"/>
  <c r="I13" i="1" a="1"/>
  <c r="I13" i="1" s="1"/>
  <c r="H13" i="1" a="1"/>
  <c r="H13" i="1" s="1"/>
  <c r="G13" i="1" a="1"/>
  <c r="G13" i="1" s="1"/>
  <c r="F13" i="1" a="1"/>
  <c r="F13" i="1" s="1"/>
  <c r="F54" i="1" a="1"/>
  <c r="F54" i="1" s="1"/>
  <c r="I54" i="1" a="1"/>
  <c r="I54" i="1" s="1"/>
  <c r="K54" i="1" a="1"/>
  <c r="K54" i="1" s="1"/>
  <c r="J54" i="1" a="1"/>
  <c r="J54" i="1" s="1"/>
  <c r="H54" i="1" a="1"/>
  <c r="H54" i="1" s="1"/>
  <c r="G54" i="1" a="1"/>
  <c r="G54" i="1" s="1"/>
  <c r="K48" i="1" a="1"/>
  <c r="K48" i="1" s="1"/>
  <c r="H41" i="1" a="1"/>
  <c r="H41" i="1" s="1"/>
  <c r="K41" i="1" a="1"/>
  <c r="K41" i="1" s="1"/>
  <c r="F42" i="1" a="1"/>
  <c r="F42" i="1" s="1"/>
  <c r="J48" i="1" a="1"/>
  <c r="J48" i="1" s="1"/>
  <c r="F48" i="1" a="1"/>
  <c r="F48" i="1" s="1"/>
  <c r="K42" i="1" a="1"/>
  <c r="K42" i="1" s="1"/>
  <c r="I48" i="1" a="1"/>
  <c r="I48" i="1" s="1"/>
  <c r="H48" i="1" a="1"/>
  <c r="H48" i="1" s="1"/>
  <c r="I41" i="1" a="1"/>
  <c r="I41" i="1" s="1"/>
  <c r="K43" i="1" a="1"/>
  <c r="K43" i="1" s="1"/>
  <c r="I43" i="1" a="1"/>
  <c r="I43" i="1" s="1"/>
  <c r="G48" i="1" a="1"/>
  <c r="G48" i="1" s="1"/>
  <c r="J42" i="1" a="1"/>
  <c r="J42" i="1" s="1"/>
  <c r="H43" i="1" a="1"/>
  <c r="H43" i="1" s="1"/>
  <c r="H42" i="1" a="1"/>
  <c r="H42" i="1" s="1"/>
  <c r="I42" i="1" a="1"/>
  <c r="I42" i="1" s="1"/>
  <c r="F43" i="1" a="1"/>
  <c r="F43" i="1" s="1"/>
  <c r="G42" i="1" a="1"/>
  <c r="G42" i="1" s="1"/>
  <c r="G43" i="1" a="1"/>
  <c r="G43" i="1" s="1"/>
  <c r="J41" i="1" a="1"/>
  <c r="J41" i="1"/>
  <c r="J43" i="1" a="1"/>
  <c r="J43" i="1" s="1"/>
  <c r="K25" i="1" a="1"/>
  <c r="K25" i="1" s="1"/>
  <c r="G26" i="1" a="1"/>
  <c r="G26" i="1" s="1"/>
  <c r="F26" i="1" a="1"/>
  <c r="F26" i="1" s="1"/>
  <c r="H28" i="1" a="1"/>
  <c r="H28" i="1" s="1"/>
  <c r="J26" i="1" a="1"/>
  <c r="J26" i="1" s="1"/>
  <c r="K28" i="1" a="1"/>
  <c r="K28" i="1" s="1"/>
  <c r="J27" i="1" a="1"/>
  <c r="J27" i="1" s="1"/>
  <c r="F27" i="1" a="1"/>
  <c r="F27" i="1" s="1"/>
  <c r="I27" i="1" a="1"/>
  <c r="I27" i="1" s="1"/>
  <c r="H26" i="1" a="1"/>
  <c r="H26" i="1" s="1"/>
  <c r="I28" i="1" a="1"/>
  <c r="I28" i="1" s="1"/>
  <c r="F28" i="1" a="1"/>
  <c r="F28" i="1" s="1"/>
  <c r="G28" i="1" a="1"/>
  <c r="G28" i="1" s="1"/>
  <c r="G27" i="1" a="1"/>
  <c r="G27" i="1" s="1"/>
  <c r="K27" i="1" a="1"/>
  <c r="K27" i="1" s="1"/>
  <c r="J28" i="1" a="1"/>
  <c r="J28" i="1" s="1"/>
  <c r="K26" i="1" a="1"/>
  <c r="K26" i="1" s="1"/>
  <c r="I26" i="1" a="1"/>
  <c r="I26" i="1" s="1"/>
  <c r="G41" i="1" a="1"/>
  <c r="G41" i="1" s="1"/>
  <c r="H27" i="1" a="1"/>
  <c r="H27" i="1" s="1"/>
  <c r="F41" i="1" a="1"/>
  <c r="F41" i="1" s="1"/>
  <c r="F16" i="1" a="1"/>
  <c r="F16" i="1" s="1"/>
  <c r="F21" i="1" a="1"/>
  <c r="F21" i="1" s="1"/>
  <c r="F24" i="1" a="1"/>
  <c r="F24" i="1" s="1"/>
  <c r="I21" i="1" a="1"/>
  <c r="I21" i="1" s="1"/>
  <c r="K21" i="1" a="1"/>
  <c r="K21" i="1" s="1"/>
  <c r="H21" i="1" a="1"/>
  <c r="H21" i="1" s="1"/>
  <c r="H17" i="1" a="1"/>
  <c r="H17" i="1" s="1"/>
  <c r="I16" i="1" a="1"/>
  <c r="I16" i="1" s="1"/>
  <c r="H16" i="1" a="1"/>
  <c r="H16" i="1" s="1"/>
  <c r="G16" i="1" a="1"/>
  <c r="G16" i="1" s="1"/>
  <c r="I17" i="1" a="1"/>
  <c r="I17" i="1" s="1"/>
  <c r="J17" i="1" a="1"/>
  <c r="J17" i="1" s="1"/>
  <c r="K17" i="1" a="1"/>
  <c r="K17" i="1" s="1"/>
  <c r="J25" i="1" a="1"/>
  <c r="J25" i="1" s="1"/>
  <c r="I25" i="1" a="1"/>
  <c r="I25" i="1" s="1"/>
  <c r="H25" i="1" a="1"/>
  <c r="H25" i="1" s="1"/>
  <c r="F25" i="1" a="1"/>
  <c r="F25" i="1" s="1"/>
  <c r="J24" i="1" a="1"/>
  <c r="J24" i="1" s="1"/>
  <c r="G24" i="1" a="1"/>
  <c r="G24" i="1" s="1"/>
  <c r="J16" i="1" a="1"/>
  <c r="J16" i="1" s="1"/>
  <c r="G17" i="1" a="1"/>
  <c r="G17" i="1" s="1"/>
  <c r="G21" i="1" a="1"/>
  <c r="G21" i="1" s="1"/>
  <c r="J21" i="1" a="1"/>
  <c r="J21" i="1" s="1"/>
  <c r="K16" i="1" a="1"/>
  <c r="K16" i="1" s="1"/>
  <c r="F17" i="1" a="1"/>
  <c r="F17" i="1" s="1"/>
  <c r="G25" i="1" a="1"/>
  <c r="G25" i="1" s="1"/>
  <c r="K24" i="1" a="1"/>
  <c r="K24" i="1" s="1"/>
  <c r="I24" i="1" a="1"/>
  <c r="I24" i="1" s="1"/>
  <c r="H24" i="1" a="1"/>
  <c r="H24" i="1" s="1"/>
  <c r="H10" i="1" a="1"/>
  <c r="H10" i="1" s="1"/>
  <c r="F10" i="1" a="1"/>
  <c r="F10" i="1" s="1"/>
  <c r="H6" i="1" a="1"/>
  <c r="H6" i="1" s="1"/>
  <c r="G7" i="1" a="1"/>
  <c r="G7" i="1" s="1"/>
  <c r="G6" i="1" a="1"/>
  <c r="G6" i="1" s="1"/>
  <c r="K9" i="1" a="1"/>
  <c r="K9" i="1" s="1"/>
  <c r="J9" i="1" a="1"/>
  <c r="J9" i="1" s="1"/>
  <c r="K7" i="1" a="1"/>
  <c r="K7" i="1" s="1"/>
  <c r="F6" i="1" a="1"/>
  <c r="F6" i="1" s="1"/>
  <c r="G10" i="1" a="1"/>
  <c r="G10" i="1" s="1"/>
  <c r="G5" i="1" a="1"/>
  <c r="G5" i="1" s="1"/>
  <c r="F4" i="1" a="1"/>
  <c r="F4" i="1" s="1"/>
  <c r="H7" i="1" a="1"/>
  <c r="H7" i="1" s="1"/>
  <c r="H5" i="1" a="1"/>
  <c r="H5" i="1" s="1"/>
  <c r="H4" i="1" a="1"/>
  <c r="H4" i="1" s="1"/>
  <c r="I4" i="1" a="1"/>
  <c r="I4" i="1" s="1"/>
  <c r="G9" i="1" a="1"/>
  <c r="G9" i="1" s="1"/>
  <c r="K6" i="1" a="1"/>
  <c r="K6" i="1" s="1"/>
  <c r="K4" i="1" a="1"/>
  <c r="K4" i="1" s="1"/>
  <c r="H9" i="1" a="1"/>
  <c r="H9" i="1" s="1"/>
  <c r="K11" i="1" a="1"/>
  <c r="K11" i="1" s="1"/>
  <c r="I9" i="1" a="1"/>
  <c r="I9" i="1" s="1"/>
  <c r="J11" i="1" a="1"/>
  <c r="J11" i="1" s="1"/>
  <c r="I7" i="1" a="1"/>
  <c r="I7" i="1" s="1"/>
  <c r="F9" i="1" a="1"/>
  <c r="F9" i="1" s="1"/>
  <c r="G11" i="1" a="1"/>
  <c r="G11" i="1" s="1"/>
  <c r="I5" i="1" a="1"/>
  <c r="I5" i="1" s="1"/>
  <c r="I11" i="1" a="1"/>
  <c r="I11" i="1" s="1"/>
  <c r="K10" i="1" a="1"/>
  <c r="K10" i="1"/>
  <c r="K5" i="1" a="1"/>
  <c r="K5" i="1" s="1"/>
  <c r="F7" i="1" a="1"/>
  <c r="F7" i="1" s="1"/>
  <c r="J7" i="1" a="1"/>
  <c r="J7" i="1" s="1"/>
  <c r="J6" i="1" a="1"/>
  <c r="J6" i="1"/>
  <c r="J5" i="1" a="1"/>
  <c r="J5" i="1" s="1"/>
  <c r="H11" i="1" a="1"/>
  <c r="H11" i="1" s="1"/>
  <c r="I6" i="1" a="1"/>
  <c r="I6" i="1" s="1"/>
  <c r="F11" i="1" a="1"/>
  <c r="F11" i="1" s="1"/>
  <c r="J4" i="1" a="1"/>
  <c r="J4" i="1" s="1"/>
  <c r="J10" i="1" a="1"/>
  <c r="J10" i="1" s="1"/>
  <c r="G4" i="1" a="1"/>
  <c r="G4" i="1"/>
  <c r="I10" i="1" a="1"/>
  <c r="I10" i="1" s="1"/>
  <c r="F5" i="1" a="1"/>
  <c r="F5" i="1" s="1"/>
  <c r="K2089" i="1" l="1"/>
  <c r="J2089" i="1"/>
  <c r="I2089" i="1"/>
  <c r="H2089" i="1"/>
  <c r="G2089" i="1"/>
  <c r="G2045" i="1" s="1"/>
  <c r="F2089" i="1"/>
  <c r="F2045" i="1" s="1"/>
  <c r="G380" i="1"/>
  <c r="G511" i="1" s="1"/>
  <c r="F239" i="1"/>
  <c r="J380" i="1"/>
  <c r="J511" i="1" s="1"/>
  <c r="J361" i="1"/>
  <c r="J502" i="1" s="1"/>
  <c r="G361" i="1"/>
  <c r="G502" i="1" s="1"/>
  <c r="H361" i="1"/>
  <c r="H502" i="1" s="1"/>
  <c r="H380" i="1"/>
  <c r="H511" i="1" s="1"/>
  <c r="K314" i="1"/>
  <c r="K469" i="1" s="1"/>
  <c r="I359" i="1"/>
  <c r="I426" i="1" s="1"/>
  <c r="H126" i="1"/>
  <c r="H322" i="1"/>
  <c r="H477" i="1" s="1"/>
  <c r="G126" i="1"/>
  <c r="G322" i="1"/>
  <c r="G477" i="1" s="1"/>
  <c r="K2184" i="1"/>
  <c r="J2184" i="1"/>
  <c r="I2184" i="1"/>
  <c r="H2184" i="1"/>
  <c r="G2184" i="1"/>
  <c r="F2184" i="1"/>
  <c r="K2045" i="1"/>
  <c r="J2045" i="1"/>
  <c r="I2045" i="1"/>
  <c r="H2045" i="1"/>
  <c r="I2248" i="1"/>
  <c r="I2228" i="1" s="1"/>
  <c r="K2310" i="1"/>
  <c r="K2308" i="1"/>
  <c r="J2310" i="1"/>
  <c r="J2308" i="1"/>
  <c r="I2310" i="1"/>
  <c r="I2308" i="1"/>
  <c r="H2310" i="1"/>
  <c r="H2308" i="1"/>
  <c r="G2310" i="1"/>
  <c r="G2308" i="1"/>
  <c r="F2308" i="1"/>
  <c r="F2310" i="1"/>
  <c r="K2218" i="1"/>
  <c r="J2218" i="1"/>
  <c r="I2218" i="1"/>
  <c r="H2218" i="1"/>
  <c r="G2218" i="1"/>
  <c r="F2218" i="1"/>
  <c r="K2208" i="1"/>
  <c r="J2208" i="1"/>
  <c r="I2208" i="1"/>
  <c r="H2208" i="1"/>
  <c r="G2208" i="1"/>
  <c r="F2208" i="1"/>
  <c r="K2109" i="1"/>
  <c r="J2109" i="1"/>
  <c r="I2109" i="1"/>
  <c r="H2109" i="1"/>
  <c r="G2109" i="1"/>
  <c r="F2109" i="1"/>
  <c r="J123" i="1"/>
  <c r="J319" i="1"/>
  <c r="J474" i="1" s="1"/>
  <c r="I123" i="1"/>
  <c r="I319" i="1"/>
  <c r="I474" i="1" s="1"/>
  <c r="H123" i="1"/>
  <c r="H319" i="1"/>
  <c r="H474" i="1" s="1"/>
  <c r="K122" i="1"/>
  <c r="K318" i="1"/>
  <c r="K473" i="1" s="1"/>
  <c r="I122" i="1"/>
  <c r="I318" i="1"/>
  <c r="I473" i="1" s="1"/>
  <c r="H122" i="1"/>
  <c r="H318" i="1"/>
  <c r="H473" i="1" s="1"/>
  <c r="F122" i="1"/>
  <c r="F318" i="1"/>
  <c r="F473" i="1" s="1"/>
  <c r="G120" i="1"/>
  <c r="G316" i="1"/>
  <c r="G471" i="1" s="1"/>
  <c r="H116" i="1"/>
  <c r="H312" i="1"/>
  <c r="H417" i="1" s="1"/>
  <c r="G116" i="1"/>
  <c r="G312" i="1"/>
  <c r="G417" i="1" s="1"/>
  <c r="I900" i="1"/>
  <c r="G900" i="1"/>
  <c r="F383" i="1"/>
  <c r="F514" i="1" s="1"/>
  <c r="J323" i="1"/>
  <c r="J478" i="1" s="1"/>
  <c r="G323" i="1"/>
  <c r="G478" i="1" s="1"/>
  <c r="J322" i="1"/>
  <c r="J477" i="1" s="1"/>
  <c r="F322" i="1"/>
  <c r="F477" i="1" s="1"/>
  <c r="I321" i="1"/>
  <c r="I476" i="1" s="1"/>
  <c r="H320" i="1"/>
  <c r="H475" i="1" s="1"/>
  <c r="K319" i="1"/>
  <c r="K474" i="1" s="1"/>
  <c r="F316" i="1"/>
  <c r="F471" i="1" s="1"/>
  <c r="F299" i="1"/>
  <c r="F463" i="1" s="1"/>
  <c r="J313" i="1"/>
  <c r="J418" i="1" s="1"/>
  <c r="G313" i="1"/>
  <c r="G418" i="1" s="1"/>
  <c r="H359" i="1"/>
  <c r="H426" i="1" s="1"/>
  <c r="K315" i="1"/>
  <c r="K470" i="1" s="1"/>
  <c r="G315" i="1"/>
  <c r="G470" i="1" s="1"/>
  <c r="G724" i="1" a="1"/>
  <c r="G724" i="1" s="1"/>
  <c r="G726" i="1" s="1" a="1"/>
  <c r="G726" i="1" s="1"/>
  <c r="F740" i="1" a="1"/>
  <c r="F740" i="1" s="1"/>
  <c r="F742" i="1" s="1" a="1"/>
  <c r="F742" i="1" s="1"/>
  <c r="H784" i="1"/>
  <c r="H785" i="1" s="1"/>
  <c r="H781" i="1"/>
  <c r="G781" i="1"/>
  <c r="G784" i="1"/>
  <c r="G785" i="1" s="1"/>
  <c r="I784" i="1"/>
  <c r="I785" i="1" s="1"/>
  <c r="I781" i="1"/>
  <c r="I320" i="1"/>
  <c r="I475" i="1" s="1"/>
  <c r="I124" i="1"/>
  <c r="F317" i="1"/>
  <c r="F472" i="1" s="1"/>
  <c r="F121" i="1"/>
  <c r="F312" i="1"/>
  <c r="F417" i="1" s="1"/>
  <c r="F116" i="1"/>
  <c r="J239" i="1"/>
  <c r="J314" i="1" s="1"/>
  <c r="J469" i="1" s="1"/>
  <c r="J315" i="1"/>
  <c r="J470" i="1" s="1"/>
  <c r="F362" i="1"/>
  <c r="F272" i="1"/>
  <c r="F361" i="1" s="1"/>
  <c r="F502" i="1" s="1"/>
  <c r="F381" i="1"/>
  <c r="F512" i="1" s="1"/>
  <c r="H724" i="1" a="1"/>
  <c r="H724" i="1" s="1"/>
  <c r="H726" i="1" s="1" a="1"/>
  <c r="H726" i="1" s="1"/>
  <c r="H740" i="1" a="1"/>
  <c r="H740" i="1" s="1"/>
  <c r="H742" i="1" s="1" a="1"/>
  <c r="H742" i="1" s="1"/>
  <c r="H381" i="1"/>
  <c r="H512" i="1" s="1"/>
  <c r="J724" i="1" a="1"/>
  <c r="J724" i="1" s="1"/>
  <c r="J726" i="1" s="1" a="1"/>
  <c r="J726" i="1" s="1"/>
  <c r="J740" i="1" a="1"/>
  <c r="J740" i="1" s="1"/>
  <c r="J742" i="1" s="1" a="1"/>
  <c r="J742" i="1" s="1"/>
  <c r="K359" i="1"/>
  <c r="K426" i="1" s="1"/>
  <c r="K381" i="1"/>
  <c r="K512" i="1" s="1"/>
  <c r="K724" i="1" a="1"/>
  <c r="K724" i="1" s="1"/>
  <c r="K726" i="1" s="1" a="1"/>
  <c r="K726" i="1" s="1"/>
  <c r="K740" i="1" a="1"/>
  <c r="K740" i="1" s="1"/>
  <c r="K742" i="1" s="1" a="1"/>
  <c r="K742" i="1" s="1"/>
  <c r="I360" i="1"/>
  <c r="I427" i="1" s="1"/>
  <c r="K362" i="1"/>
  <c r="K272" i="1"/>
  <c r="K361" i="1" s="1"/>
  <c r="K502" i="1" s="1"/>
  <c r="F196" i="1"/>
  <c r="F359" i="1" s="1"/>
  <c r="F426" i="1" s="1"/>
  <c r="F360" i="1"/>
  <c r="F427" i="1" s="1"/>
  <c r="I313" i="1"/>
  <c r="I418" i="1" s="1"/>
  <c r="I117" i="1"/>
  <c r="G320" i="1"/>
  <c r="G475" i="1" s="1"/>
  <c r="G124" i="1"/>
  <c r="I381" i="1"/>
  <c r="I512" i="1" s="1"/>
  <c r="K384" i="1"/>
  <c r="K515" i="1" s="1"/>
  <c r="J362" i="1"/>
  <c r="K313" i="1"/>
  <c r="K418" i="1" s="1"/>
  <c r="G317" i="1"/>
  <c r="G472" i="1" s="1"/>
  <c r="G121" i="1"/>
  <c r="K127" i="1"/>
  <c r="K323" i="1"/>
  <c r="K478" i="1" s="1"/>
  <c r="G360" i="1"/>
  <c r="G427" i="1" s="1"/>
  <c r="H313" i="1"/>
  <c r="H418" i="1" s="1"/>
  <c r="H117" i="1"/>
  <c r="F127" i="1"/>
  <c r="G118" i="1"/>
  <c r="K320" i="1"/>
  <c r="K475" i="1" s="1"/>
  <c r="K124" i="1"/>
  <c r="K120" i="1"/>
  <c r="J317" i="1"/>
  <c r="J472" i="1" s="1"/>
  <c r="J121" i="1"/>
  <c r="F321" i="1"/>
  <c r="F476" i="1" s="1"/>
  <c r="J360" i="1"/>
  <c r="J427" i="1" s="1"/>
  <c r="I239" i="1"/>
  <c r="I314" i="1" s="1"/>
  <c r="I469" i="1" s="1"/>
  <c r="I118" i="1"/>
  <c r="K317" i="1"/>
  <c r="K472" i="1" s="1"/>
  <c r="K121" i="1"/>
  <c r="K360" i="1"/>
  <c r="K427" i="1" s="1"/>
  <c r="I312" i="1"/>
  <c r="I417" i="1" s="1"/>
  <c r="K781" i="1"/>
  <c r="K784" i="1"/>
  <c r="K785" i="1" s="1"/>
  <c r="F124" i="1"/>
  <c r="F320" i="1"/>
  <c r="F475" i="1" s="1"/>
  <c r="I740" i="1" a="1"/>
  <c r="I740" i="1" s="1"/>
  <c r="I742" i="1" s="1" a="1"/>
  <c r="I742" i="1" s="1"/>
  <c r="H321" i="1"/>
  <c r="H476" i="1" s="1"/>
  <c r="I121" i="1"/>
  <c r="G239" i="1"/>
  <c r="G314" i="1" s="1"/>
  <c r="G469" i="1" s="1"/>
  <c r="F313" i="1"/>
  <c r="F418" i="1" s="1"/>
  <c r="G318" i="1"/>
  <c r="G473" i="1" s="1"/>
  <c r="H239" i="1"/>
  <c r="F315" i="1"/>
  <c r="F470" i="1" s="1"/>
  <c r="H314" i="1"/>
  <c r="H469" i="1" s="1"/>
  <c r="G298" i="1"/>
  <c r="G411" i="1" s="1"/>
  <c r="I361" i="1"/>
  <c r="I502" i="1" s="1"/>
  <c r="H315" i="1"/>
  <c r="H470" i="1" s="1"/>
  <c r="F380" i="1"/>
  <c r="F511" i="1" s="1"/>
  <c r="I397" i="1"/>
  <c r="I517" i="1" s="1"/>
  <c r="J359" i="1"/>
  <c r="J426" i="1" s="1"/>
  <c r="F781" i="1"/>
  <c r="F724" i="1" a="1"/>
  <c r="F724" i="1" s="1"/>
  <c r="F726" i="1" s="1" a="1"/>
  <c r="F726" i="1" s="1"/>
  <c r="G319" i="1"/>
  <c r="G474" i="1" s="1"/>
  <c r="G123" i="1"/>
  <c r="I322" i="1"/>
  <c r="I477" i="1" s="1"/>
  <c r="I126" i="1"/>
  <c r="I380" i="1"/>
  <c r="I511" i="1" s="1"/>
  <c r="K117" i="1"/>
  <c r="J381" i="1"/>
  <c r="J512" i="1" s="1"/>
  <c r="G359" i="1"/>
  <c r="G426" i="1" s="1"/>
  <c r="I362" i="1"/>
  <c r="G384" i="1"/>
  <c r="G515" i="1" s="1"/>
  <c r="H323" i="1"/>
  <c r="H478" i="1" s="1"/>
  <c r="H316" i="1"/>
  <c r="H471" i="1" s="1"/>
  <c r="H120" i="1"/>
  <c r="J316" i="1"/>
  <c r="J471" i="1" s="1"/>
  <c r="I323" i="1"/>
  <c r="I478" i="1" s="1"/>
  <c r="J781" i="1"/>
  <c r="J784" i="1"/>
  <c r="J785" i="1" s="1"/>
  <c r="G381" i="1"/>
  <c r="G512" i="1" s="1"/>
  <c r="J900" i="1"/>
  <c r="J923" i="1"/>
  <c r="J922" i="1" s="1"/>
  <c r="J897" i="1"/>
  <c r="J901" i="1"/>
  <c r="J116" i="1"/>
  <c r="K116" i="1"/>
  <c r="I316" i="1"/>
  <c r="I471" i="1" s="1"/>
  <c r="H298" i="1"/>
  <c r="H411" i="1" s="1"/>
  <c r="I315" i="1"/>
  <c r="I470" i="1" s="1"/>
  <c r="H900" i="1"/>
  <c r="H923" i="1"/>
  <c r="H922" i="1" s="1"/>
  <c r="H897" i="1"/>
  <c r="H901" i="1"/>
  <c r="H362" i="1"/>
  <c r="K380" i="1"/>
  <c r="K511" i="1" s="1"/>
  <c r="I398" i="1"/>
  <c r="I518" i="1" s="1"/>
  <c r="G122" i="1"/>
  <c r="K126" i="1"/>
  <c r="F119" i="1"/>
  <c r="J122" i="1"/>
  <c r="F314" i="1"/>
  <c r="F469" i="1" s="1"/>
  <c r="H317" i="1"/>
  <c r="H472" i="1" s="1"/>
  <c r="J320" i="1"/>
  <c r="J475" i="1" s="1"/>
  <c r="H360" i="1"/>
  <c r="H427" i="1" s="1"/>
  <c r="J378" i="1"/>
  <c r="J435" i="1" s="1"/>
  <c r="F382" i="1"/>
  <c r="F513" i="1" s="1"/>
  <c r="H119" i="1"/>
  <c r="I901" i="1"/>
  <c r="G897" i="1"/>
  <c r="F893" i="1"/>
  <c r="K901" i="1"/>
  <c r="F319" i="1"/>
  <c r="F474" i="1" s="1"/>
  <c r="I897" i="1"/>
  <c r="K897" i="1"/>
  <c r="F923" i="1"/>
  <c r="F922" i="1" s="1"/>
  <c r="G923" i="1"/>
  <c r="G922" i="1" s="1"/>
  <c r="K923" i="1"/>
  <c r="K922" i="1" s="1"/>
  <c r="F900" i="1" l="1"/>
  <c r="F897" i="1"/>
  <c r="F901" i="1"/>
  <c r="C2029" i="1" l="1"/>
  <c r="C2030" i="1"/>
  <c r="C2031" i="1"/>
  <c r="C2032" i="1"/>
  <c r="C2033" i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28" i="1"/>
  <c r="J2025" i="1"/>
  <c r="I2025" i="1"/>
  <c r="H2025" i="1"/>
  <c r="G2025" i="1"/>
  <c r="F2025" i="1"/>
  <c r="J2022" i="1"/>
  <c r="I2022" i="1"/>
  <c r="H2022" i="1"/>
  <c r="G2022" i="1"/>
  <c r="F2022" i="1"/>
  <c r="E1899" i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K1896" i="1"/>
  <c r="J1896" i="1"/>
  <c r="I1896" i="1"/>
  <c r="H1896" i="1"/>
  <c r="G1896" i="1"/>
  <c r="K1894" i="1"/>
  <c r="J1894" i="1"/>
  <c r="I1894" i="1"/>
  <c r="H1894" i="1"/>
  <c r="G1894" i="1"/>
  <c r="K1892" i="1"/>
  <c r="J1892" i="1"/>
  <c r="I1892" i="1"/>
  <c r="H1892" i="1"/>
  <c r="G1892" i="1"/>
  <c r="K1890" i="1"/>
  <c r="J1890" i="1"/>
  <c r="I1890" i="1"/>
  <c r="H1890" i="1"/>
  <c r="G1890" i="1"/>
  <c r="K1884" i="1"/>
  <c r="J1884" i="1"/>
  <c r="I1884" i="1"/>
  <c r="H1884" i="1"/>
  <c r="G1884" i="1"/>
  <c r="J1881" i="1"/>
  <c r="F1896" i="1"/>
  <c r="F1894" i="1"/>
  <c r="F1892" i="1"/>
  <c r="F1890" i="1"/>
  <c r="F1884" i="1"/>
  <c r="K1878" i="1"/>
  <c r="J1878" i="1"/>
  <c r="I1878" i="1"/>
  <c r="H1878" i="1"/>
  <c r="G1878" i="1"/>
  <c r="K1876" i="1"/>
  <c r="J1876" i="1"/>
  <c r="I1876" i="1"/>
  <c r="H1876" i="1"/>
  <c r="G1876" i="1"/>
  <c r="K1874" i="1"/>
  <c r="J1874" i="1"/>
  <c r="I1874" i="1"/>
  <c r="H1874" i="1"/>
  <c r="G1874" i="1"/>
  <c r="K1872" i="1"/>
  <c r="J1872" i="1"/>
  <c r="I1872" i="1"/>
  <c r="H1872" i="1"/>
  <c r="G1872" i="1"/>
  <c r="K1870" i="1"/>
  <c r="J1870" i="1"/>
  <c r="I1870" i="1"/>
  <c r="H1870" i="1"/>
  <c r="G1870" i="1"/>
  <c r="K1868" i="1"/>
  <c r="J1868" i="1"/>
  <c r="I1868" i="1"/>
  <c r="H1868" i="1"/>
  <c r="G1868" i="1"/>
  <c r="K1864" i="1"/>
  <c r="F1878" i="1"/>
  <c r="F1876" i="1"/>
  <c r="F1874" i="1"/>
  <c r="F1872" i="1"/>
  <c r="F1870" i="1"/>
  <c r="F1868" i="1"/>
  <c r="F1861" i="1"/>
  <c r="K1855" i="1"/>
  <c r="J1855" i="1"/>
  <c r="I1855" i="1"/>
  <c r="H1855" i="1"/>
  <c r="G1855" i="1"/>
  <c r="F1855" i="1"/>
  <c r="K1853" i="1"/>
  <c r="J1853" i="1"/>
  <c r="I1853" i="1"/>
  <c r="H1853" i="1"/>
  <c r="G1853" i="1"/>
  <c r="F1853" i="1"/>
  <c r="K1851" i="1"/>
  <c r="J1851" i="1"/>
  <c r="I1851" i="1"/>
  <c r="H1851" i="1"/>
  <c r="G1851" i="1"/>
  <c r="F1851" i="1"/>
  <c r="K1849" i="1"/>
  <c r="J1849" i="1"/>
  <c r="I1849" i="1"/>
  <c r="H1849" i="1"/>
  <c r="G1849" i="1"/>
  <c r="F1849" i="1"/>
  <c r="K1847" i="1"/>
  <c r="J1847" i="1"/>
  <c r="I1847" i="1"/>
  <c r="H1847" i="1"/>
  <c r="G1847" i="1"/>
  <c r="F1847" i="1"/>
  <c r="K1842" i="1"/>
  <c r="J1842" i="1"/>
  <c r="I1842" i="1"/>
  <c r="H1842" i="1"/>
  <c r="G1842" i="1"/>
  <c r="F1842" i="1"/>
  <c r="E1819" i="1"/>
  <c r="K1836" i="1"/>
  <c r="J1836" i="1"/>
  <c r="I1836" i="1"/>
  <c r="H1836" i="1"/>
  <c r="G1836" i="1"/>
  <c r="K1834" i="1"/>
  <c r="J1834" i="1"/>
  <c r="I1834" i="1"/>
  <c r="H1834" i="1"/>
  <c r="G1834" i="1"/>
  <c r="K1832" i="1"/>
  <c r="J1832" i="1"/>
  <c r="I1832" i="1"/>
  <c r="H1832" i="1"/>
  <c r="G1832" i="1"/>
  <c r="K1830" i="1"/>
  <c r="J1830" i="1"/>
  <c r="I1830" i="1"/>
  <c r="H1830" i="1"/>
  <c r="G1830" i="1"/>
  <c r="K1828" i="1"/>
  <c r="J1828" i="1"/>
  <c r="I1828" i="1"/>
  <c r="H1828" i="1"/>
  <c r="G1828" i="1"/>
  <c r="K1823" i="1"/>
  <c r="J1823" i="1"/>
  <c r="I1823" i="1"/>
  <c r="H1823" i="1"/>
  <c r="G1823" i="1"/>
  <c r="F1836" i="1"/>
  <c r="F1834" i="1"/>
  <c r="F1832" i="1"/>
  <c r="F1830" i="1"/>
  <c r="F1828" i="1"/>
  <c r="F1823" i="1"/>
  <c r="E1820" i="1"/>
  <c r="E1821" i="1" s="1"/>
  <c r="E1822" i="1" s="1"/>
  <c r="E1823" i="1" s="1"/>
  <c r="E1824" i="1" s="1"/>
  <c r="E1825" i="1" s="1"/>
  <c r="E1826" i="1" s="1"/>
  <c r="E1827" i="1" s="1"/>
  <c r="E1828" i="1" s="1"/>
  <c r="E1829" i="1" s="1"/>
  <c r="E1755" i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I1858" i="1" l="1"/>
  <c r="F1858" i="1"/>
  <c r="F1886" i="1"/>
  <c r="G1973" i="1"/>
  <c r="H1881" i="1"/>
  <c r="I1881" i="1"/>
  <c r="I2017" i="1"/>
  <c r="J2019" i="1"/>
  <c r="J2017" i="1"/>
  <c r="F2017" i="1"/>
  <c r="F2019" i="1"/>
  <c r="G2017" i="1"/>
  <c r="G2019" i="1"/>
  <c r="H2017" i="1"/>
  <c r="H2019" i="1"/>
  <c r="I2019" i="1"/>
  <c r="K2025" i="1"/>
  <c r="K2022" i="1"/>
  <c r="K2017" i="1" s="1"/>
  <c r="K2019" i="1"/>
  <c r="F1881" i="1"/>
  <c r="F1880" i="1" s="1"/>
  <c r="K1886" i="1"/>
  <c r="K1881" i="1"/>
  <c r="K1880" i="1" s="1"/>
  <c r="H2007" i="1"/>
  <c r="J2007" i="1"/>
  <c r="I2007" i="1"/>
  <c r="K2007" i="1"/>
  <c r="G2007" i="1"/>
  <c r="F2007" i="1"/>
  <c r="K1997" i="1"/>
  <c r="J1997" i="1"/>
  <c r="I1997" i="1"/>
  <c r="H1997" i="1"/>
  <c r="G1997" i="1"/>
  <c r="F1997" i="1"/>
  <c r="F1973" i="1"/>
  <c r="I1973" i="1"/>
  <c r="H1973" i="1"/>
  <c r="J1973" i="1"/>
  <c r="K1973" i="1"/>
  <c r="K1949" i="1"/>
  <c r="G1949" i="1"/>
  <c r="H1949" i="1"/>
  <c r="I1949" i="1"/>
  <c r="J1949" i="1"/>
  <c r="F1949" i="1"/>
  <c r="G1898" i="1"/>
  <c r="H1898" i="1"/>
  <c r="I1898" i="1"/>
  <c r="J1898" i="1"/>
  <c r="K1898" i="1"/>
  <c r="F1898" i="1"/>
  <c r="G1886" i="1"/>
  <c r="H1886" i="1"/>
  <c r="H1880" i="1" s="1"/>
  <c r="I1886" i="1"/>
  <c r="J1886" i="1"/>
  <c r="J1880" i="1" s="1"/>
  <c r="G1881" i="1"/>
  <c r="K1861" i="1"/>
  <c r="K1839" i="1"/>
  <c r="F1864" i="1"/>
  <c r="F1857" i="1" s="1"/>
  <c r="I1861" i="1"/>
  <c r="G1858" i="1"/>
  <c r="H1858" i="1"/>
  <c r="J1858" i="1"/>
  <c r="K1858" i="1"/>
  <c r="G1864" i="1"/>
  <c r="H1864" i="1"/>
  <c r="I1864" i="1"/>
  <c r="J1864" i="1"/>
  <c r="G1861" i="1"/>
  <c r="H1861" i="1"/>
  <c r="J1861" i="1"/>
  <c r="F1825" i="1"/>
  <c r="I1839" i="1"/>
  <c r="K1844" i="1"/>
  <c r="J1839" i="1"/>
  <c r="F1844" i="1"/>
  <c r="G1844" i="1"/>
  <c r="F1839" i="1"/>
  <c r="H1844" i="1"/>
  <c r="G1839" i="1"/>
  <c r="I1844" i="1"/>
  <c r="H1839" i="1"/>
  <c r="J1844" i="1"/>
  <c r="I1825" i="1"/>
  <c r="F1820" i="1"/>
  <c r="K1825" i="1"/>
  <c r="E1830" i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J1825" i="1"/>
  <c r="G1820" i="1"/>
  <c r="H1820" i="1"/>
  <c r="G1825" i="1"/>
  <c r="H1825" i="1"/>
  <c r="J1820" i="1"/>
  <c r="I1820" i="1"/>
  <c r="K1820" i="1"/>
  <c r="F1838" i="1" l="1"/>
  <c r="I1857" i="1"/>
  <c r="K1838" i="1"/>
  <c r="H1838" i="1"/>
  <c r="K1857" i="1"/>
  <c r="G1838" i="1"/>
  <c r="I1880" i="1"/>
  <c r="I1838" i="1"/>
  <c r="G1880" i="1"/>
  <c r="G1857" i="1"/>
  <c r="J1857" i="1"/>
  <c r="H1857" i="1"/>
  <c r="F1819" i="1"/>
  <c r="F1818" i="1" s="1"/>
  <c r="J1838" i="1"/>
  <c r="K1819" i="1"/>
  <c r="K1818" i="1" s="1"/>
  <c r="I1819" i="1"/>
  <c r="J1819" i="1"/>
  <c r="H1819" i="1"/>
  <c r="G1819" i="1"/>
  <c r="G1818" i="1" s="1"/>
  <c r="H1818" i="1" l="1"/>
  <c r="J1818" i="1"/>
  <c r="I1818" i="1"/>
  <c r="G1806" i="1"/>
  <c r="K1806" i="1"/>
  <c r="J1806" i="1"/>
  <c r="I1806" i="1"/>
  <c r="K1805" i="1"/>
  <c r="J1805" i="1"/>
  <c r="I1805" i="1"/>
  <c r="H1805" i="1"/>
  <c r="G1805" i="1"/>
  <c r="F1805" i="1"/>
  <c r="K1796" i="1"/>
  <c r="J1796" i="1"/>
  <c r="I1796" i="1"/>
  <c r="F1796" i="1"/>
  <c r="H1796" i="1"/>
  <c r="G1796" i="1"/>
  <c r="I1781" i="1"/>
  <c r="K1761" i="1"/>
  <c r="F1757" i="1"/>
  <c r="K1757" i="1"/>
  <c r="J1757" i="1"/>
  <c r="I1757" i="1"/>
  <c r="K1755" i="1"/>
  <c r="I1755" i="1"/>
  <c r="H1755" i="1"/>
  <c r="G1755" i="1"/>
  <c r="J1755" i="1"/>
  <c r="F1755" i="1"/>
  <c r="G1810" i="1" l="1"/>
  <c r="H1806" i="1"/>
  <c r="K1798" i="1"/>
  <c r="I1788" i="1"/>
  <c r="J1810" i="1"/>
  <c r="H1757" i="1"/>
  <c r="K1781" i="1"/>
  <c r="J1788" i="1"/>
  <c r="G1788" i="1"/>
  <c r="I1798" i="1"/>
  <c r="H1788" i="1"/>
  <c r="K1810" i="1"/>
  <c r="J1761" i="1"/>
  <c r="J1781" i="1"/>
  <c r="K1788" i="1"/>
  <c r="H1810" i="1"/>
  <c r="F1761" i="1"/>
  <c r="J1798" i="1"/>
  <c r="I1761" i="1"/>
  <c r="H1761" i="1"/>
  <c r="G1798" i="1"/>
  <c r="F1810" i="1"/>
  <c r="G1757" i="1"/>
  <c r="F1788" i="1"/>
  <c r="F1798" i="1"/>
  <c r="F1806" i="1"/>
  <c r="F1765" i="1"/>
  <c r="H1781" i="1"/>
  <c r="H1798" i="1"/>
  <c r="I1810" i="1"/>
  <c r="H1765" i="1"/>
  <c r="I1765" i="1"/>
  <c r="J1765" i="1"/>
  <c r="G1765" i="1"/>
  <c r="K1765" i="1"/>
  <c r="G1761" i="1"/>
  <c r="F1781" i="1"/>
  <c r="G1781" i="1"/>
  <c r="K1753" i="1"/>
  <c r="J1753" i="1"/>
  <c r="I1753" i="1"/>
  <c r="H1753" i="1"/>
  <c r="G1753" i="1"/>
  <c r="K1752" i="1"/>
  <c r="J1752" i="1"/>
  <c r="I1752" i="1"/>
  <c r="H1752" i="1"/>
  <c r="G1752" i="1"/>
  <c r="K1751" i="1"/>
  <c r="J1751" i="1"/>
  <c r="I1751" i="1"/>
  <c r="H1751" i="1"/>
  <c r="G1751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7" i="1"/>
  <c r="J1747" i="1"/>
  <c r="I1747" i="1"/>
  <c r="H1747" i="1"/>
  <c r="G1747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40" i="1"/>
  <c r="J1740" i="1"/>
  <c r="I1740" i="1"/>
  <c r="H1740" i="1"/>
  <c r="G1740" i="1"/>
  <c r="K1739" i="1"/>
  <c r="J1739" i="1"/>
  <c r="I1739" i="1"/>
  <c r="H1739" i="1"/>
  <c r="G1739" i="1"/>
  <c r="K1738" i="1"/>
  <c r="J1738" i="1"/>
  <c r="I1738" i="1"/>
  <c r="H1738" i="1"/>
  <c r="G1738" i="1"/>
  <c r="K1736" i="1"/>
  <c r="J1736" i="1"/>
  <c r="I1736" i="1"/>
  <c r="H1736" i="1"/>
  <c r="G1736" i="1"/>
  <c r="K1734" i="1"/>
  <c r="J1734" i="1"/>
  <c r="I1734" i="1"/>
  <c r="H1734" i="1"/>
  <c r="G1734" i="1"/>
  <c r="I1733" i="1"/>
  <c r="H1733" i="1"/>
  <c r="G1733" i="1"/>
  <c r="K1729" i="1"/>
  <c r="J1729" i="1"/>
  <c r="I1729" i="1"/>
  <c r="H1729" i="1"/>
  <c r="G1729" i="1"/>
  <c r="K1728" i="1"/>
  <c r="J1728" i="1"/>
  <c r="I1728" i="1"/>
  <c r="H1728" i="1"/>
  <c r="G1728" i="1"/>
  <c r="K1727" i="1"/>
  <c r="J1727" i="1"/>
  <c r="I1727" i="1"/>
  <c r="H1727" i="1"/>
  <c r="G1727" i="1"/>
  <c r="K1724" i="1"/>
  <c r="J1724" i="1"/>
  <c r="I1724" i="1"/>
  <c r="H1724" i="1"/>
  <c r="G1724" i="1"/>
  <c r="I1723" i="1"/>
  <c r="H1723" i="1"/>
  <c r="G1723" i="1"/>
  <c r="I1722" i="1"/>
  <c r="H1722" i="1"/>
  <c r="G1722" i="1"/>
  <c r="K1717" i="1"/>
  <c r="J1717" i="1"/>
  <c r="I1717" i="1"/>
  <c r="H1717" i="1"/>
  <c r="G1717" i="1"/>
  <c r="K1716" i="1"/>
  <c r="J1716" i="1"/>
  <c r="I1716" i="1"/>
  <c r="H1716" i="1"/>
  <c r="G1716" i="1"/>
  <c r="K1714" i="1"/>
  <c r="J1714" i="1"/>
  <c r="I1714" i="1"/>
  <c r="H1714" i="1"/>
  <c r="G1714" i="1"/>
  <c r="K1713" i="1"/>
  <c r="J1713" i="1"/>
  <c r="I1713" i="1"/>
  <c r="H1713" i="1"/>
  <c r="G1713" i="1"/>
  <c r="K1712" i="1"/>
  <c r="J1712" i="1"/>
  <c r="I1712" i="1"/>
  <c r="H1712" i="1"/>
  <c r="G1712" i="1"/>
  <c r="K1711" i="1"/>
  <c r="J1711" i="1"/>
  <c r="I1711" i="1"/>
  <c r="H1711" i="1"/>
  <c r="G1711" i="1"/>
  <c r="K1710" i="1"/>
  <c r="J1710" i="1"/>
  <c r="I1710" i="1"/>
  <c r="H1710" i="1"/>
  <c r="G1710" i="1"/>
  <c r="K1707" i="1"/>
  <c r="J1707" i="1"/>
  <c r="I1707" i="1"/>
  <c r="H1707" i="1"/>
  <c r="G1707" i="1"/>
  <c r="F1736" i="1"/>
  <c r="E1738" i="1"/>
  <c r="F1738" i="1"/>
  <c r="E1739" i="1"/>
  <c r="F1739" i="1"/>
  <c r="E1740" i="1"/>
  <c r="F1740" i="1"/>
  <c r="E1741" i="1"/>
  <c r="F1741" i="1"/>
  <c r="E1742" i="1"/>
  <c r="E1743" i="1"/>
  <c r="F1743" i="1"/>
  <c r="E1744" i="1"/>
  <c r="F1744" i="1"/>
  <c r="E1745" i="1"/>
  <c r="F1745" i="1"/>
  <c r="E1746" i="1"/>
  <c r="E1747" i="1"/>
  <c r="F1747" i="1"/>
  <c r="E1748" i="1"/>
  <c r="F1748" i="1"/>
  <c r="E1749" i="1"/>
  <c r="F1749" i="1"/>
  <c r="E1750" i="1"/>
  <c r="F1750" i="1"/>
  <c r="E1751" i="1"/>
  <c r="F1751" i="1"/>
  <c r="E1752" i="1"/>
  <c r="F1752" i="1"/>
  <c r="E1753" i="1"/>
  <c r="F1753" i="1"/>
  <c r="E1737" i="1"/>
  <c r="F1710" i="1"/>
  <c r="F1711" i="1"/>
  <c r="F1712" i="1"/>
  <c r="F1713" i="1"/>
  <c r="F1714" i="1"/>
  <c r="F1716" i="1"/>
  <c r="F1717" i="1"/>
  <c r="F1722" i="1"/>
  <c r="F1723" i="1"/>
  <c r="F1724" i="1"/>
  <c r="F1727" i="1"/>
  <c r="F1728" i="1"/>
  <c r="F1729" i="1"/>
  <c r="F1733" i="1"/>
  <c r="F1734" i="1"/>
  <c r="F1707" i="1"/>
  <c r="E1707" i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J1702" i="1"/>
  <c r="G12" i="4" s="1"/>
  <c r="I1702" i="1"/>
  <c r="F12" i="4" s="1"/>
  <c r="H1702" i="1"/>
  <c r="E12" i="4" s="1"/>
  <c r="F1702" i="1"/>
  <c r="C12" i="4" s="1"/>
  <c r="H1754" i="1" l="1"/>
  <c r="J1754" i="1"/>
  <c r="I1754" i="1"/>
  <c r="G1754" i="1"/>
  <c r="K1754" i="1"/>
  <c r="F1754" i="1"/>
  <c r="G1702" i="1"/>
  <c r="D12" i="4" s="1"/>
  <c r="K1702" i="1"/>
  <c r="H12" i="4" s="1"/>
  <c r="K1705" i="1" l="1"/>
  <c r="J1705" i="1"/>
  <c r="I1705" i="1"/>
  <c r="H1705" i="1"/>
  <c r="G1705" i="1"/>
  <c r="F1705" i="1"/>
  <c r="K1647" i="1"/>
  <c r="H6" i="4"/>
  <c r="G6" i="4"/>
  <c r="F6" i="4"/>
  <c r="E6" i="4"/>
  <c r="D6" i="4"/>
  <c r="C6" i="4"/>
  <c r="K1697" i="1"/>
  <c r="J1697" i="1"/>
  <c r="I1697" i="1"/>
  <c r="H1697" i="1"/>
  <c r="G1697" i="1"/>
  <c r="F1697" i="1"/>
  <c r="E1698" i="1"/>
  <c r="E1699" i="1" s="1"/>
  <c r="E1700" i="1" s="1"/>
  <c r="K1687" i="1"/>
  <c r="J1687" i="1"/>
  <c r="I1687" i="1"/>
  <c r="H1687" i="1"/>
  <c r="G1687" i="1"/>
  <c r="F1687" i="1"/>
  <c r="H1683" i="1"/>
  <c r="J1683" i="1"/>
  <c r="I1683" i="1"/>
  <c r="G1683" i="1"/>
  <c r="K1683" i="1"/>
  <c r="F1683" i="1"/>
  <c r="E1684" i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29" i="1"/>
  <c r="E1630" i="1" s="1"/>
  <c r="E1631" i="1" s="1"/>
  <c r="E1632" i="1" s="1"/>
  <c r="E1633" i="1" s="1"/>
  <c r="E1634" i="1" s="1"/>
  <c r="E1635" i="1" s="1"/>
  <c r="E1636" i="1" s="1"/>
  <c r="E1637" i="1" s="1"/>
  <c r="E1666" i="1"/>
  <c r="G1682" i="1"/>
  <c r="K1680" i="1"/>
  <c r="I1679" i="1"/>
  <c r="G1678" i="1"/>
  <c r="K1676" i="1"/>
  <c r="I1675" i="1"/>
  <c r="G1674" i="1"/>
  <c r="E1670" i="1"/>
  <c r="E1663" i="1"/>
  <c r="J1647" i="1"/>
  <c r="I1647" i="1"/>
  <c r="H1647" i="1"/>
  <c r="G1647" i="1"/>
  <c r="F1647" i="1"/>
  <c r="E1644" i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J1639" i="1"/>
  <c r="F1651" i="1" l="1"/>
  <c r="G1651" i="1"/>
  <c r="H1651" i="1"/>
  <c r="I1651" i="1"/>
  <c r="G1643" i="1"/>
  <c r="F1674" i="1"/>
  <c r="H1675" i="1"/>
  <c r="J1676" i="1"/>
  <c r="F1678" i="1"/>
  <c r="H1679" i="1"/>
  <c r="J1680" i="1"/>
  <c r="F1682" i="1"/>
  <c r="F1673" i="1"/>
  <c r="H1674" i="1"/>
  <c r="J1675" i="1"/>
  <c r="F1677" i="1"/>
  <c r="H1678" i="1"/>
  <c r="J1679" i="1"/>
  <c r="F1681" i="1"/>
  <c r="H1682" i="1"/>
  <c r="G1673" i="1"/>
  <c r="I1674" i="1"/>
  <c r="K1675" i="1"/>
  <c r="G1677" i="1"/>
  <c r="I1678" i="1"/>
  <c r="K1679" i="1"/>
  <c r="G1681" i="1"/>
  <c r="I1682" i="1"/>
  <c r="H1673" i="1"/>
  <c r="J1674" i="1"/>
  <c r="F1676" i="1"/>
  <c r="H1677" i="1"/>
  <c r="J1678" i="1"/>
  <c r="F1680" i="1"/>
  <c r="H1681" i="1"/>
  <c r="J1682" i="1"/>
  <c r="K1643" i="1"/>
  <c r="I1673" i="1"/>
  <c r="K1674" i="1"/>
  <c r="G1676" i="1"/>
  <c r="I1677" i="1"/>
  <c r="K1678" i="1"/>
  <c r="G1680" i="1"/>
  <c r="I1681" i="1"/>
  <c r="K1682" i="1"/>
  <c r="J1673" i="1"/>
  <c r="F1675" i="1"/>
  <c r="H1676" i="1"/>
  <c r="J1677" i="1"/>
  <c r="F1679" i="1"/>
  <c r="H1680" i="1"/>
  <c r="J1681" i="1"/>
  <c r="K1673" i="1"/>
  <c r="G1675" i="1"/>
  <c r="I1676" i="1"/>
  <c r="K1677" i="1"/>
  <c r="G1679" i="1"/>
  <c r="I1680" i="1"/>
  <c r="K1681" i="1"/>
  <c r="F1643" i="1"/>
  <c r="F1639" i="1"/>
  <c r="G1639" i="1"/>
  <c r="H1639" i="1"/>
  <c r="J1643" i="1"/>
  <c r="H1643" i="1"/>
  <c r="I1639" i="1"/>
  <c r="K1639" i="1"/>
  <c r="I1643" i="1"/>
  <c r="G1653" i="1"/>
  <c r="H1653" i="1"/>
  <c r="I1653" i="1"/>
  <c r="J1653" i="1"/>
  <c r="K1653" i="1"/>
  <c r="F1653" i="1"/>
  <c r="F1657" i="1" l="1"/>
  <c r="H1657" i="1"/>
  <c r="G1657" i="1"/>
  <c r="I1657" i="1"/>
  <c r="J1638" i="1"/>
  <c r="I1638" i="1"/>
  <c r="F1638" i="1"/>
  <c r="K1638" i="1"/>
  <c r="H1638" i="1"/>
  <c r="G1638" i="1"/>
  <c r="E1640" i="1" l="1"/>
  <c r="E1641" i="1" s="1"/>
  <c r="E1642" i="1" s="1"/>
  <c r="K1612" i="1"/>
  <c r="J1612" i="1"/>
  <c r="I1612" i="1"/>
  <c r="H1612" i="1"/>
  <c r="G1612" i="1"/>
  <c r="F1612" i="1"/>
  <c r="K1595" i="1"/>
  <c r="J1595" i="1"/>
  <c r="I1595" i="1"/>
  <c r="H1595" i="1"/>
  <c r="G1595" i="1"/>
  <c r="F1595" i="1"/>
  <c r="E1592" i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545" i="1"/>
  <c r="E1546" i="1" s="1"/>
  <c r="E1547" i="1" s="1"/>
  <c r="E1548" i="1" s="1"/>
  <c r="K1565" i="1"/>
  <c r="J1565" i="1"/>
  <c r="I1565" i="1"/>
  <c r="H1565" i="1"/>
  <c r="G1565" i="1"/>
  <c r="F1565" i="1"/>
  <c r="K1548" i="1"/>
  <c r="J1548" i="1"/>
  <c r="I1548" i="1"/>
  <c r="F1548" i="1"/>
  <c r="H1569" i="1" l="1"/>
  <c r="I1569" i="1"/>
  <c r="G1616" i="1"/>
  <c r="G1569" i="1"/>
  <c r="H1616" i="1"/>
  <c r="F1616" i="1"/>
  <c r="I1616" i="1"/>
  <c r="F1569" i="1"/>
  <c r="K1597" i="1"/>
  <c r="K1588" i="1"/>
  <c r="I1571" i="1"/>
  <c r="K1590" i="1"/>
  <c r="J1582" i="1"/>
  <c r="F1584" i="1"/>
  <c r="H1585" i="1"/>
  <c r="J1586" i="1"/>
  <c r="F1588" i="1"/>
  <c r="H1589" i="1"/>
  <c r="J1590" i="1"/>
  <c r="H1545" i="1"/>
  <c r="G1592" i="1"/>
  <c r="I1604" i="1"/>
  <c r="I1629" i="1"/>
  <c r="G1550" i="1"/>
  <c r="K1634" i="1"/>
  <c r="F1590" i="1"/>
  <c r="K1633" i="1"/>
  <c r="G1590" i="1"/>
  <c r="K1550" i="1"/>
  <c r="H1571" i="1"/>
  <c r="H1590" i="1"/>
  <c r="J1597" i="1"/>
  <c r="J1631" i="1"/>
  <c r="I1582" i="1"/>
  <c r="K1583" i="1"/>
  <c r="G1585" i="1"/>
  <c r="I1586" i="1"/>
  <c r="K1587" i="1"/>
  <c r="G1589" i="1"/>
  <c r="J1633" i="1"/>
  <c r="K1582" i="1"/>
  <c r="G1584" i="1"/>
  <c r="I1585" i="1"/>
  <c r="K1586" i="1"/>
  <c r="G1588" i="1"/>
  <c r="I1589" i="1"/>
  <c r="J1571" i="1"/>
  <c r="J1630" i="1"/>
  <c r="F1583" i="1"/>
  <c r="H1584" i="1"/>
  <c r="J1585" i="1"/>
  <c r="F1587" i="1"/>
  <c r="H1588" i="1"/>
  <c r="J1589" i="1"/>
  <c r="K1571" i="1"/>
  <c r="G1583" i="1"/>
  <c r="I1584" i="1"/>
  <c r="K1585" i="1"/>
  <c r="G1587" i="1"/>
  <c r="I1588" i="1"/>
  <c r="K1589" i="1"/>
  <c r="J1592" i="1"/>
  <c r="J1545" i="1"/>
  <c r="F1582" i="1"/>
  <c r="H1583" i="1"/>
  <c r="J1584" i="1"/>
  <c r="F1586" i="1"/>
  <c r="H1587" i="1"/>
  <c r="J1588" i="1"/>
  <c r="G1582" i="1"/>
  <c r="I1583" i="1"/>
  <c r="K1584" i="1"/>
  <c r="G1586" i="1"/>
  <c r="I1587" i="1"/>
  <c r="F1571" i="1"/>
  <c r="F1604" i="1"/>
  <c r="H1635" i="1"/>
  <c r="G1630" i="1"/>
  <c r="H1632" i="1"/>
  <c r="I1634" i="1"/>
  <c r="I1635" i="1"/>
  <c r="J1637" i="1"/>
  <c r="H1582" i="1"/>
  <c r="J1583" i="1"/>
  <c r="F1585" i="1"/>
  <c r="H1586" i="1"/>
  <c r="J1587" i="1"/>
  <c r="F1589" i="1"/>
  <c r="I1590" i="1"/>
  <c r="G1571" i="1"/>
  <c r="F1592" i="1"/>
  <c r="H1604" i="1"/>
  <c r="K1635" i="1"/>
  <c r="J1632" i="1"/>
  <c r="F1637" i="1"/>
  <c r="H1592" i="1"/>
  <c r="F1597" i="1"/>
  <c r="K1631" i="1"/>
  <c r="F1635" i="1"/>
  <c r="G1637" i="1"/>
  <c r="I1592" i="1"/>
  <c r="G1597" i="1"/>
  <c r="K1604" i="1"/>
  <c r="K1630" i="1"/>
  <c r="G1635" i="1"/>
  <c r="H1597" i="1"/>
  <c r="F1631" i="1"/>
  <c r="F1632" i="1"/>
  <c r="K1592" i="1"/>
  <c r="F1630" i="1"/>
  <c r="G1631" i="1"/>
  <c r="I1636" i="1"/>
  <c r="G1604" i="1"/>
  <c r="I1632" i="1"/>
  <c r="K1632" i="1"/>
  <c r="G1629" i="1"/>
  <c r="G1618" i="1"/>
  <c r="I1630" i="1"/>
  <c r="I1631" i="1"/>
  <c r="J1634" i="1"/>
  <c r="K1636" i="1"/>
  <c r="F1636" i="1"/>
  <c r="K1629" i="1"/>
  <c r="K1618" i="1"/>
  <c r="F1633" i="1"/>
  <c r="F1634" i="1"/>
  <c r="G1636" i="1"/>
  <c r="H1637" i="1"/>
  <c r="G1633" i="1"/>
  <c r="G1634" i="1"/>
  <c r="J1604" i="1"/>
  <c r="F1629" i="1"/>
  <c r="F1618" i="1"/>
  <c r="G1632" i="1"/>
  <c r="H1633" i="1"/>
  <c r="H1634" i="1"/>
  <c r="H1636" i="1"/>
  <c r="I1637" i="1"/>
  <c r="J1629" i="1"/>
  <c r="J1618" i="1"/>
  <c r="I1597" i="1"/>
  <c r="H1629" i="1"/>
  <c r="H1618" i="1"/>
  <c r="H1630" i="1"/>
  <c r="H1631" i="1"/>
  <c r="I1633" i="1"/>
  <c r="J1635" i="1"/>
  <c r="J1636" i="1"/>
  <c r="K1637" i="1"/>
  <c r="I1618" i="1"/>
  <c r="I1550" i="1"/>
  <c r="F1550" i="1"/>
  <c r="K1545" i="1"/>
  <c r="H1550" i="1"/>
  <c r="J1550" i="1"/>
  <c r="F1545" i="1"/>
  <c r="G1545" i="1"/>
  <c r="I1557" i="1"/>
  <c r="J1557" i="1"/>
  <c r="I1545" i="1"/>
  <c r="K1557" i="1"/>
  <c r="F1557" i="1"/>
  <c r="G1557" i="1"/>
  <c r="H1548" i="1"/>
  <c r="H1557" i="1"/>
  <c r="G1548" i="1"/>
  <c r="E1549" i="1"/>
  <c r="H1601" i="1" l="1"/>
  <c r="H1561" i="1"/>
  <c r="G1601" i="1"/>
  <c r="G1554" i="1"/>
  <c r="F1608" i="1"/>
  <c r="I1608" i="1"/>
  <c r="F1601" i="1"/>
  <c r="G1561" i="1"/>
  <c r="I1561" i="1"/>
  <c r="F1561" i="1"/>
  <c r="H1608" i="1"/>
  <c r="F1554" i="1"/>
  <c r="I1554" i="1"/>
  <c r="G1608" i="1"/>
  <c r="I1601" i="1"/>
  <c r="H1554" i="1"/>
  <c r="F1591" i="1"/>
  <c r="H1591" i="1"/>
  <c r="I1591" i="1"/>
  <c r="G1591" i="1"/>
  <c r="K1591" i="1"/>
  <c r="J1591" i="1"/>
  <c r="I1544" i="1"/>
  <c r="H1544" i="1"/>
  <c r="G1544" i="1"/>
  <c r="E1550" i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F1544" i="1"/>
  <c r="K1544" i="1"/>
  <c r="J1544" i="1"/>
  <c r="E1517" i="1" l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G1516" i="1" l="1"/>
  <c r="I1516" i="1"/>
  <c r="F1516" i="1"/>
  <c r="J1516" i="1"/>
  <c r="H1516" i="1"/>
  <c r="K1516" i="1"/>
  <c r="K1539" i="1" l="1"/>
  <c r="J1539" i="1"/>
  <c r="I1539" i="1"/>
  <c r="H1539" i="1"/>
  <c r="G1539" i="1"/>
  <c r="F1539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K1541" i="1"/>
  <c r="J1541" i="1"/>
  <c r="I1541" i="1"/>
  <c r="H1541" i="1"/>
  <c r="G1541" i="1"/>
  <c r="F1541" i="1"/>
  <c r="K1540" i="1"/>
  <c r="J1540" i="1"/>
  <c r="I1540" i="1"/>
  <c r="H1540" i="1"/>
  <c r="G1540" i="1"/>
  <c r="F1540" i="1"/>
  <c r="G1535" i="1"/>
  <c r="H1535" i="1"/>
  <c r="I1535" i="1"/>
  <c r="J1535" i="1"/>
  <c r="K1535" i="1"/>
  <c r="G1536" i="1"/>
  <c r="H1536" i="1"/>
  <c r="I1536" i="1"/>
  <c r="J1536" i="1"/>
  <c r="K1536" i="1"/>
  <c r="G1537" i="1"/>
  <c r="H1537" i="1"/>
  <c r="I1537" i="1"/>
  <c r="J1537" i="1"/>
  <c r="K1537" i="1"/>
  <c r="G1538" i="1"/>
  <c r="H1538" i="1"/>
  <c r="I1538" i="1"/>
  <c r="J1538" i="1"/>
  <c r="K1538" i="1"/>
  <c r="F1538" i="1"/>
  <c r="F1537" i="1"/>
  <c r="F1536" i="1"/>
  <c r="F1535" i="1"/>
  <c r="K1534" i="1"/>
  <c r="J1534" i="1"/>
  <c r="I1534" i="1"/>
  <c r="H1534" i="1"/>
  <c r="G1534" i="1"/>
  <c r="K1533" i="1"/>
  <c r="J1533" i="1"/>
  <c r="I1533" i="1"/>
  <c r="H1533" i="1"/>
  <c r="G1533" i="1"/>
  <c r="K1532" i="1"/>
  <c r="J1532" i="1"/>
  <c r="I1532" i="1"/>
  <c r="H1532" i="1"/>
  <c r="G1532" i="1"/>
  <c r="K1531" i="1"/>
  <c r="J1531" i="1"/>
  <c r="I1531" i="1"/>
  <c r="H1531" i="1"/>
  <c r="G1531" i="1"/>
  <c r="F1534" i="1"/>
  <c r="F1533" i="1"/>
  <c r="F1532" i="1"/>
  <c r="F1531" i="1"/>
  <c r="E1496" i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12" i="1" s="1"/>
  <c r="E1513" i="1" s="1"/>
  <c r="E1514" i="1" s="1"/>
  <c r="E1515" i="1" s="1"/>
  <c r="E1494" i="1"/>
  <c r="K1491" i="1"/>
  <c r="J1491" i="1"/>
  <c r="I1491" i="1"/>
  <c r="H1491" i="1"/>
  <c r="G1491" i="1"/>
  <c r="F1491" i="1"/>
  <c r="F1489" i="1"/>
  <c r="F1488" i="1" s="1"/>
  <c r="E1487" i="1"/>
  <c r="K1484" i="1"/>
  <c r="J1484" i="1"/>
  <c r="I1484" i="1"/>
  <c r="H1484" i="1"/>
  <c r="G1484" i="1"/>
  <c r="F1484" i="1"/>
  <c r="K1489" i="1"/>
  <c r="K1488" i="1" s="1"/>
  <c r="J1489" i="1"/>
  <c r="J1488" i="1" s="1"/>
  <c r="I1489" i="1"/>
  <c r="I1488" i="1" s="1"/>
  <c r="H1489" i="1"/>
  <c r="H1488" i="1" s="1"/>
  <c r="G1489" i="1"/>
  <c r="G1488" i="1" s="1"/>
  <c r="K1482" i="1"/>
  <c r="K1481" i="1" s="1"/>
  <c r="J1482" i="1"/>
  <c r="J1481" i="1" s="1"/>
  <c r="I1482" i="1"/>
  <c r="I1481" i="1" s="1"/>
  <c r="H1482" i="1"/>
  <c r="H1481" i="1" s="1"/>
  <c r="G1482" i="1"/>
  <c r="G1481" i="1" s="1"/>
  <c r="F1482" i="1"/>
  <c r="F1481" i="1" s="1"/>
  <c r="E1434" i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K1496" i="1" l="1"/>
  <c r="I1496" i="1"/>
  <c r="K1501" i="1"/>
  <c r="G1496" i="1"/>
  <c r="F1501" i="1"/>
  <c r="J1501" i="1"/>
  <c r="I1501" i="1"/>
  <c r="H1501" i="1"/>
  <c r="J1496" i="1"/>
  <c r="G1501" i="1"/>
  <c r="F1506" i="1"/>
  <c r="G1506" i="1"/>
  <c r="H1506" i="1"/>
  <c r="I1506" i="1"/>
  <c r="J1506" i="1"/>
  <c r="K1506" i="1"/>
  <c r="E1507" i="1"/>
  <c r="E1508" i="1" s="1"/>
  <c r="E1509" i="1" s="1"/>
  <c r="E1510" i="1" s="1"/>
  <c r="F1496" i="1"/>
  <c r="H1496" i="1"/>
  <c r="I1487" i="1"/>
  <c r="H1494" i="1"/>
  <c r="E1511" i="1"/>
  <c r="J1487" i="1"/>
  <c r="I1494" i="1"/>
  <c r="K1487" i="1"/>
  <c r="J1494" i="1"/>
  <c r="K1494" i="1"/>
  <c r="F1487" i="1"/>
  <c r="G1487" i="1"/>
  <c r="F1494" i="1"/>
  <c r="H1487" i="1"/>
  <c r="G1494" i="1"/>
  <c r="F1469" i="1"/>
  <c r="K1475" i="1"/>
  <c r="G1479" i="1"/>
  <c r="H1479" i="1"/>
  <c r="I1469" i="1"/>
  <c r="H1460" i="1"/>
  <c r="J1473" i="1"/>
  <c r="G1467" i="1"/>
  <c r="F1461" i="1"/>
  <c r="H1464" i="1"/>
  <c r="K1467" i="1"/>
  <c r="G1478" i="1"/>
  <c r="G1475" i="1"/>
  <c r="F1462" i="1"/>
  <c r="G1462" i="1"/>
  <c r="J1469" i="1"/>
  <c r="K1459" i="1"/>
  <c r="I1466" i="1"/>
  <c r="H1423" i="1"/>
  <c r="I1473" i="1"/>
  <c r="F1473" i="1"/>
  <c r="H1472" i="1"/>
  <c r="H1477" i="1"/>
  <c r="H1468" i="1"/>
  <c r="I1464" i="1"/>
  <c r="J1466" i="1"/>
  <c r="H1478" i="1"/>
  <c r="F1460" i="1"/>
  <c r="J1464" i="1"/>
  <c r="K1466" i="1"/>
  <c r="G1469" i="1"/>
  <c r="F1476" i="1"/>
  <c r="I1478" i="1"/>
  <c r="I1423" i="1"/>
  <c r="G1460" i="1"/>
  <c r="F1467" i="1"/>
  <c r="G1476" i="1"/>
  <c r="G1398" i="1"/>
  <c r="H1462" i="1"/>
  <c r="H1469" i="1"/>
  <c r="J1471" i="1"/>
  <c r="K1473" i="1"/>
  <c r="H1476" i="1"/>
  <c r="K1478" i="1"/>
  <c r="I1462" i="1"/>
  <c r="I1476" i="1"/>
  <c r="K1423" i="1"/>
  <c r="I1460" i="1"/>
  <c r="J1462" i="1"/>
  <c r="J1476" i="1"/>
  <c r="J1460" i="1"/>
  <c r="H1467" i="1"/>
  <c r="K1460" i="1"/>
  <c r="F1463" i="1"/>
  <c r="I1467" i="1"/>
  <c r="G1472" i="1"/>
  <c r="J1467" i="1"/>
  <c r="I1474" i="1"/>
  <c r="I1479" i="1"/>
  <c r="G1471" i="1"/>
  <c r="G1461" i="1"/>
  <c r="F1468" i="1"/>
  <c r="G1470" i="1"/>
  <c r="J1479" i="1"/>
  <c r="F1475" i="1"/>
  <c r="K1479" i="1"/>
  <c r="G1480" i="1"/>
  <c r="H1473" i="1"/>
  <c r="K1470" i="1"/>
  <c r="K1477" i="1"/>
  <c r="J1480" i="1"/>
  <c r="F1478" i="1"/>
  <c r="K1480" i="1"/>
  <c r="G1458" i="1"/>
  <c r="K1471" i="1"/>
  <c r="F1479" i="1"/>
  <c r="F1465" i="1"/>
  <c r="K1462" i="1"/>
  <c r="G1465" i="1"/>
  <c r="F1472" i="1"/>
  <c r="G1474" i="1"/>
  <c r="K1476" i="1"/>
  <c r="I1471" i="1"/>
  <c r="F1458" i="1"/>
  <c r="F1433" i="1"/>
  <c r="H1433" i="1"/>
  <c r="F1404" i="1"/>
  <c r="I1433" i="1"/>
  <c r="I1458" i="1"/>
  <c r="H1465" i="1"/>
  <c r="K1469" i="1"/>
  <c r="H1474" i="1"/>
  <c r="F1477" i="1"/>
  <c r="J1478" i="1"/>
  <c r="G1404" i="1"/>
  <c r="J1433" i="1"/>
  <c r="J1458" i="1"/>
  <c r="G1463" i="1"/>
  <c r="F1470" i="1"/>
  <c r="G1477" i="1"/>
  <c r="H1398" i="1"/>
  <c r="H1458" i="1"/>
  <c r="K1474" i="1"/>
  <c r="J1398" i="1"/>
  <c r="K1464" i="1"/>
  <c r="I1465" i="1"/>
  <c r="I1463" i="1"/>
  <c r="J1472" i="1"/>
  <c r="K1404" i="1"/>
  <c r="G1409" i="1"/>
  <c r="H1461" i="1"/>
  <c r="J1463" i="1"/>
  <c r="K1465" i="1"/>
  <c r="H1470" i="1"/>
  <c r="F1480" i="1"/>
  <c r="F1474" i="1"/>
  <c r="H1404" i="1"/>
  <c r="H1463" i="1"/>
  <c r="K1433" i="1"/>
  <c r="K1458" i="1"/>
  <c r="I1472" i="1"/>
  <c r="I1404" i="1"/>
  <c r="J1423" i="1"/>
  <c r="J1404" i="1"/>
  <c r="J1465" i="1"/>
  <c r="G1459" i="1"/>
  <c r="F1466" i="1"/>
  <c r="I1470" i="1"/>
  <c r="I1477" i="1"/>
  <c r="H1471" i="1"/>
  <c r="K1398" i="1"/>
  <c r="F1459" i="1"/>
  <c r="G1468" i="1"/>
  <c r="K1472" i="1"/>
  <c r="H1409" i="1"/>
  <c r="I1409" i="1"/>
  <c r="I1461" i="1"/>
  <c r="K1463" i="1"/>
  <c r="I1468" i="1"/>
  <c r="J1470" i="1"/>
  <c r="H1480" i="1"/>
  <c r="J1409" i="1"/>
  <c r="H1459" i="1"/>
  <c r="F1464" i="1"/>
  <c r="G1466" i="1"/>
  <c r="J1468" i="1"/>
  <c r="G1473" i="1"/>
  <c r="H1475" i="1"/>
  <c r="J1477" i="1"/>
  <c r="I1480" i="1"/>
  <c r="I1398" i="1"/>
  <c r="K1409" i="1"/>
  <c r="F1423" i="1"/>
  <c r="I1459" i="1"/>
  <c r="J1461" i="1"/>
  <c r="G1464" i="1"/>
  <c r="K1468" i="1"/>
  <c r="F1471" i="1"/>
  <c r="I1475" i="1"/>
  <c r="J1474" i="1"/>
  <c r="F1409" i="1"/>
  <c r="F1398" i="1"/>
  <c r="G1423" i="1"/>
  <c r="J1459" i="1"/>
  <c r="K1461" i="1"/>
  <c r="H1466" i="1"/>
  <c r="J1475" i="1"/>
  <c r="G1433" i="1"/>
  <c r="I1510" i="1" l="1"/>
  <c r="H1510" i="1"/>
  <c r="G1510" i="1"/>
  <c r="F1510" i="1"/>
  <c r="G1427" i="1"/>
  <c r="F1413" i="1"/>
  <c r="I1427" i="1"/>
  <c r="H1413" i="1"/>
  <c r="H1427" i="1"/>
  <c r="G1413" i="1"/>
  <c r="I1413" i="1"/>
  <c r="F1427" i="1"/>
  <c r="K1495" i="1"/>
  <c r="I1495" i="1"/>
  <c r="J1495" i="1"/>
  <c r="H1495" i="1"/>
  <c r="F1495" i="1"/>
  <c r="G1495" i="1"/>
  <c r="G1397" i="1"/>
  <c r="H1397" i="1"/>
  <c r="F1397" i="1"/>
  <c r="J1397" i="1"/>
  <c r="I1397" i="1"/>
  <c r="K1397" i="1"/>
  <c r="E1350" i="1" l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K1320" i="1" l="1"/>
  <c r="J1386" i="1"/>
  <c r="H1393" i="1"/>
  <c r="J1396" i="1"/>
  <c r="G1380" i="1"/>
  <c r="I1383" i="1"/>
  <c r="K1386" i="1"/>
  <c r="I1393" i="1"/>
  <c r="K1396" i="1"/>
  <c r="H1380" i="1"/>
  <c r="J1383" i="1"/>
  <c r="J1393" i="1"/>
  <c r="I1380" i="1"/>
  <c r="K1383" i="1"/>
  <c r="I1390" i="1"/>
  <c r="K1393" i="1"/>
  <c r="J1380" i="1"/>
  <c r="H1387" i="1"/>
  <c r="J1390" i="1"/>
  <c r="F1394" i="1"/>
  <c r="K1380" i="1"/>
  <c r="I1387" i="1"/>
  <c r="K1390" i="1"/>
  <c r="G1394" i="1"/>
  <c r="F1381" i="1"/>
  <c r="J1387" i="1"/>
  <c r="F1391" i="1"/>
  <c r="H1394" i="1"/>
  <c r="G1381" i="1"/>
  <c r="I1384" i="1"/>
  <c r="K1387" i="1"/>
  <c r="I1394" i="1"/>
  <c r="J1349" i="1"/>
  <c r="H1381" i="1"/>
  <c r="J1384" i="1"/>
  <c r="J1394" i="1"/>
  <c r="I1381" i="1"/>
  <c r="K1384" i="1"/>
  <c r="I1391" i="1"/>
  <c r="K1394" i="1"/>
  <c r="J1381" i="1"/>
  <c r="F1385" i="1"/>
  <c r="J1391" i="1"/>
  <c r="F1395" i="1"/>
  <c r="K1381" i="1"/>
  <c r="I1388" i="1"/>
  <c r="K1391" i="1"/>
  <c r="G1395" i="1"/>
  <c r="J1388" i="1"/>
  <c r="H1395" i="1"/>
  <c r="I1385" i="1"/>
  <c r="K1388" i="1"/>
  <c r="G1392" i="1"/>
  <c r="I1395" i="1"/>
  <c r="F1379" i="1"/>
  <c r="H1382" i="1"/>
  <c r="J1385" i="1"/>
  <c r="H1392" i="1"/>
  <c r="J1395" i="1"/>
  <c r="G1379" i="1"/>
  <c r="I1382" i="1"/>
  <c r="K1385" i="1"/>
  <c r="G1389" i="1"/>
  <c r="I1392" i="1"/>
  <c r="K1395" i="1"/>
  <c r="H1379" i="1"/>
  <c r="J1382" i="1"/>
  <c r="J1392" i="1"/>
  <c r="I1379" i="1"/>
  <c r="K1382" i="1"/>
  <c r="I1389" i="1"/>
  <c r="K1392" i="1"/>
  <c r="G1396" i="1"/>
  <c r="J1379" i="1"/>
  <c r="J1389" i="1"/>
  <c r="H1396" i="1"/>
  <c r="K1379" i="1"/>
  <c r="G1383" i="1"/>
  <c r="I1386" i="1"/>
  <c r="K1389" i="1"/>
  <c r="G1393" i="1"/>
  <c r="I1396" i="1"/>
  <c r="H1390" i="1"/>
  <c r="H1383" i="1"/>
  <c r="H1384" i="1"/>
  <c r="H1391" i="1"/>
  <c r="H1388" i="1"/>
  <c r="H1385" i="1"/>
  <c r="H1389" i="1"/>
  <c r="H1386" i="1"/>
  <c r="G1390" i="1"/>
  <c r="G1387" i="1"/>
  <c r="G1384" i="1"/>
  <c r="G1391" i="1"/>
  <c r="G1388" i="1"/>
  <c r="G1385" i="1"/>
  <c r="G1382" i="1"/>
  <c r="G1320" i="1"/>
  <c r="G1386" i="1"/>
  <c r="F1383" i="1"/>
  <c r="F1393" i="1"/>
  <c r="F1380" i="1"/>
  <c r="F1390" i="1"/>
  <c r="F1387" i="1"/>
  <c r="F1384" i="1"/>
  <c r="F1388" i="1"/>
  <c r="F1382" i="1"/>
  <c r="F1392" i="1"/>
  <c r="F1389" i="1"/>
  <c r="F1386" i="1"/>
  <c r="F1396" i="1"/>
  <c r="K1349" i="1"/>
  <c r="F1349" i="1"/>
  <c r="G1349" i="1"/>
  <c r="H1349" i="1"/>
  <c r="I1349" i="1"/>
  <c r="F1320" i="1"/>
  <c r="J1320" i="1"/>
  <c r="H1320" i="1"/>
  <c r="I1320" i="1"/>
  <c r="K1339" i="1"/>
  <c r="G1339" i="1"/>
  <c r="H1339" i="1"/>
  <c r="F1339" i="1"/>
  <c r="I1339" i="1"/>
  <c r="J1339" i="1"/>
  <c r="K1325" i="1"/>
  <c r="F1325" i="1"/>
  <c r="J1325" i="1"/>
  <c r="I1325" i="1"/>
  <c r="H1325" i="1"/>
  <c r="G1325" i="1"/>
  <c r="G1329" i="1" l="1"/>
  <c r="H1329" i="1"/>
  <c r="I1329" i="1"/>
  <c r="F1329" i="1"/>
  <c r="H1343" i="1"/>
  <c r="I1343" i="1"/>
  <c r="F1343" i="1"/>
  <c r="G1343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K1376" i="1"/>
  <c r="J1376" i="1"/>
  <c r="I1376" i="1"/>
  <c r="H1376" i="1"/>
  <c r="G1376" i="1"/>
  <c r="F1376" i="1"/>
  <c r="K1375" i="1"/>
  <c r="J1375" i="1"/>
  <c r="I1375" i="1"/>
  <c r="H1375" i="1"/>
  <c r="G1375" i="1"/>
  <c r="F1375" i="1"/>
  <c r="F1314" i="1" l="1"/>
  <c r="F1313" i="1" s="1"/>
  <c r="F1374" i="1"/>
  <c r="G1314" i="1"/>
  <c r="G1313" i="1" s="1"/>
  <c r="G1374" i="1"/>
  <c r="H1314" i="1"/>
  <c r="H1313" i="1" s="1"/>
  <c r="H1374" i="1"/>
  <c r="I1314" i="1"/>
  <c r="I1313" i="1" s="1"/>
  <c r="I1374" i="1"/>
  <c r="J1314" i="1"/>
  <c r="J1313" i="1" s="1"/>
  <c r="J1374" i="1"/>
  <c r="K1314" i="1"/>
  <c r="K1313" i="1" s="1"/>
  <c r="K1374" i="1"/>
  <c r="E1263" i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212" i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F1211" i="1" l="1"/>
  <c r="G1211" i="1"/>
  <c r="H1211" i="1"/>
  <c r="I1211" i="1"/>
  <c r="J1211" i="1"/>
  <c r="K1211" i="1"/>
  <c r="K1297" i="1" l="1"/>
  <c r="J1297" i="1"/>
  <c r="I1297" i="1"/>
  <c r="H1297" i="1"/>
  <c r="G1297" i="1"/>
  <c r="F1297" i="1"/>
  <c r="F1312" i="1"/>
  <c r="F1311" i="1"/>
  <c r="F1310" i="1"/>
  <c r="F1309" i="1"/>
  <c r="F1308" i="1"/>
  <c r="E1179" i="1"/>
  <c r="E1180" i="1" s="1"/>
  <c r="E1181" i="1" s="1"/>
  <c r="E1182" i="1" s="1"/>
  <c r="E1156" i="1"/>
  <c r="E1157" i="1" s="1"/>
  <c r="E1158" i="1" s="1"/>
  <c r="E1159" i="1" s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K1308" i="1"/>
  <c r="J1308" i="1"/>
  <c r="I1308" i="1"/>
  <c r="H1308" i="1"/>
  <c r="G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9" i="1"/>
  <c r="J1299" i="1"/>
  <c r="I1299" i="1"/>
  <c r="H1299" i="1"/>
  <c r="G1299" i="1"/>
  <c r="F1299" i="1"/>
  <c r="K1298" i="1"/>
  <c r="J1298" i="1"/>
  <c r="I1298" i="1"/>
  <c r="H1298" i="1"/>
  <c r="G1298" i="1"/>
  <c r="F1298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87" i="1"/>
  <c r="J1287" i="1"/>
  <c r="I1287" i="1"/>
  <c r="H1287" i="1"/>
  <c r="G1287" i="1"/>
  <c r="F1287" i="1"/>
  <c r="K1286" i="1"/>
  <c r="J1286" i="1"/>
  <c r="I1286" i="1"/>
  <c r="H1286" i="1"/>
  <c r="G1286" i="1"/>
  <c r="F1286" i="1"/>
  <c r="K1269" i="1" l="1"/>
  <c r="J1270" i="1"/>
  <c r="F1275" i="1"/>
  <c r="J1269" i="1"/>
  <c r="K1270" i="1"/>
  <c r="G1275" i="1"/>
  <c r="F1271" i="1"/>
  <c r="F1272" i="1"/>
  <c r="H1275" i="1"/>
  <c r="G1271" i="1"/>
  <c r="G1272" i="1"/>
  <c r="I1275" i="1"/>
  <c r="F1268" i="1"/>
  <c r="H1271" i="1"/>
  <c r="H1272" i="1"/>
  <c r="J1275" i="1"/>
  <c r="G1268" i="1"/>
  <c r="I1271" i="1"/>
  <c r="I1272" i="1"/>
  <c r="K1275" i="1"/>
  <c r="H1268" i="1"/>
  <c r="J1271" i="1"/>
  <c r="J1272" i="1"/>
  <c r="I1268" i="1"/>
  <c r="K1271" i="1"/>
  <c r="K1272" i="1"/>
  <c r="J1268" i="1"/>
  <c r="F1273" i="1"/>
  <c r="K1268" i="1"/>
  <c r="G1273" i="1"/>
  <c r="F1269" i="1"/>
  <c r="H1273" i="1"/>
  <c r="G1269" i="1"/>
  <c r="I1273" i="1"/>
  <c r="H1269" i="1"/>
  <c r="J1273" i="1"/>
  <c r="I1269" i="1"/>
  <c r="K1273" i="1"/>
  <c r="F1274" i="1"/>
  <c r="G1274" i="1"/>
  <c r="F1270" i="1"/>
  <c r="H1274" i="1"/>
  <c r="G1270" i="1"/>
  <c r="I1274" i="1"/>
  <c r="H1270" i="1"/>
  <c r="J1274" i="1"/>
  <c r="I1270" i="1"/>
  <c r="K1274" i="1"/>
  <c r="K1201" i="1"/>
  <c r="K1178" i="1"/>
  <c r="H1201" i="1"/>
  <c r="J1201" i="1"/>
  <c r="F1178" i="1"/>
  <c r="H1178" i="1"/>
  <c r="J1178" i="1"/>
  <c r="F1201" i="1"/>
  <c r="I1178" i="1"/>
  <c r="G1201" i="1"/>
  <c r="G1178" i="1"/>
  <c r="I1201" i="1"/>
  <c r="H1182" i="1" l="1"/>
  <c r="G1205" i="1"/>
  <c r="I1182" i="1"/>
  <c r="G1182" i="1"/>
  <c r="H1205" i="1"/>
  <c r="I1205" i="1"/>
  <c r="F1205" i="1"/>
  <c r="F1182" i="1"/>
  <c r="J1312" i="1"/>
  <c r="K1312" i="1"/>
  <c r="G1312" i="1"/>
  <c r="I1312" i="1"/>
  <c r="H1312" i="1"/>
  <c r="K1285" i="1" l="1"/>
  <c r="J1285" i="1"/>
  <c r="I1285" i="1"/>
  <c r="H1285" i="1"/>
  <c r="G1285" i="1"/>
  <c r="F1285" i="1"/>
  <c r="K1284" i="1"/>
  <c r="J1284" i="1"/>
  <c r="I1284" i="1"/>
  <c r="H1284" i="1"/>
  <c r="G1284" i="1"/>
  <c r="F1284" i="1"/>
  <c r="K1283" i="1"/>
  <c r="J1283" i="1"/>
  <c r="I1283" i="1"/>
  <c r="H1283" i="1"/>
  <c r="G1283" i="1"/>
  <c r="F1283" i="1"/>
  <c r="F1282" i="1"/>
  <c r="G1282" i="1"/>
  <c r="H1282" i="1"/>
  <c r="I1282" i="1"/>
  <c r="J1282" i="1"/>
  <c r="K1282" i="1"/>
  <c r="K1281" i="1"/>
  <c r="J1281" i="1"/>
  <c r="I1281" i="1"/>
  <c r="H1281" i="1"/>
  <c r="G1281" i="1"/>
  <c r="F1281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J1155" i="1" l="1"/>
  <c r="G1155" i="1"/>
  <c r="H1155" i="1"/>
  <c r="F1155" i="1"/>
  <c r="I1155" i="1"/>
  <c r="K1155" i="1"/>
  <c r="K1278" i="1"/>
  <c r="J1278" i="1"/>
  <c r="I1278" i="1"/>
  <c r="H1278" i="1"/>
  <c r="G1278" i="1"/>
  <c r="F1278" i="1"/>
  <c r="K1277" i="1"/>
  <c r="J1277" i="1"/>
  <c r="I1277" i="1"/>
  <c r="H1277" i="1"/>
  <c r="G1277" i="1"/>
  <c r="F1277" i="1"/>
  <c r="K1276" i="1"/>
  <c r="J1276" i="1"/>
  <c r="I1276" i="1"/>
  <c r="H1276" i="1"/>
  <c r="G1276" i="1"/>
  <c r="F1276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K1265" i="1"/>
  <c r="J1265" i="1"/>
  <c r="I1265" i="1"/>
  <c r="H1265" i="1"/>
  <c r="G1265" i="1"/>
  <c r="F1265" i="1"/>
  <c r="K1264" i="1"/>
  <c r="J1264" i="1"/>
  <c r="I1264" i="1"/>
  <c r="H1264" i="1"/>
  <c r="G1264" i="1"/>
  <c r="F1264" i="1"/>
  <c r="J1263" i="1"/>
  <c r="I1263" i="1"/>
  <c r="H1263" i="1"/>
  <c r="G1263" i="1"/>
  <c r="F1263" i="1"/>
  <c r="H1159" i="1" l="1"/>
  <c r="I1159" i="1"/>
  <c r="F1159" i="1"/>
  <c r="G1159" i="1"/>
  <c r="K1135" i="1"/>
  <c r="K1263" i="1"/>
  <c r="J1135" i="1"/>
  <c r="F1135" i="1"/>
  <c r="I1135" i="1"/>
  <c r="G1135" i="1"/>
  <c r="H1135" i="1"/>
  <c r="K1150" i="1"/>
  <c r="H1150" i="1"/>
  <c r="J1150" i="1"/>
  <c r="G1150" i="1"/>
  <c r="I1150" i="1"/>
  <c r="F1150" i="1"/>
  <c r="G1129" i="1"/>
  <c r="G1128" i="1"/>
  <c r="G1127" i="1"/>
  <c r="G1126" i="1"/>
  <c r="K1134" i="1" l="1"/>
  <c r="H7" i="4" s="1"/>
  <c r="F1134" i="1"/>
  <c r="C7" i="4" s="1"/>
  <c r="H1134" i="1"/>
  <c r="E7" i="4" s="1"/>
  <c r="G1134" i="1"/>
  <c r="D7" i="4" s="1"/>
  <c r="I1134" i="1"/>
  <c r="F7" i="4" s="1"/>
  <c r="J1134" i="1"/>
  <c r="G7" i="4" s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K1073" i="1"/>
  <c r="J1073" i="1"/>
  <c r="I1073" i="1"/>
  <c r="H1073" i="1"/>
  <c r="G1073" i="1"/>
  <c r="F1073" i="1"/>
  <c r="G1071" i="1"/>
  <c r="H1071" i="1"/>
  <c r="I1071" i="1"/>
  <c r="J1071" i="1"/>
  <c r="K1071" i="1"/>
  <c r="F1071" i="1"/>
  <c r="K1063" i="1"/>
  <c r="J1063" i="1"/>
  <c r="I1063" i="1"/>
  <c r="H1063" i="1"/>
  <c r="G1063" i="1"/>
  <c r="F1063" i="1"/>
  <c r="J1058" i="1"/>
  <c r="H1058" i="1"/>
  <c r="G1058" i="1"/>
  <c r="F1058" i="1"/>
  <c r="K451" i="1"/>
  <c r="J451" i="1"/>
  <c r="I451" i="1"/>
  <c r="H451" i="1"/>
  <c r="G451" i="1"/>
  <c r="F451" i="1"/>
  <c r="K221" i="1"/>
  <c r="J221" i="1"/>
  <c r="I221" i="1"/>
  <c r="H221" i="1"/>
  <c r="G221" i="1"/>
  <c r="F221" i="1"/>
  <c r="C213" i="1"/>
  <c r="C211" i="1"/>
  <c r="C189" i="1"/>
  <c r="E1034" i="1"/>
  <c r="E1035" i="1" s="1"/>
  <c r="K1038" i="1"/>
  <c r="J1038" i="1"/>
  <c r="I1038" i="1"/>
  <c r="H1038" i="1"/>
  <c r="G1038" i="1"/>
  <c r="F1038" i="1"/>
  <c r="K1036" i="1"/>
  <c r="J1036" i="1"/>
  <c r="I1036" i="1"/>
  <c r="H1036" i="1"/>
  <c r="G1036" i="1"/>
  <c r="F1036" i="1"/>
  <c r="K1029" i="1"/>
  <c r="J1029" i="1"/>
  <c r="I1029" i="1"/>
  <c r="H1029" i="1"/>
  <c r="G1029" i="1"/>
  <c r="F1029" i="1"/>
  <c r="K1024" i="1"/>
  <c r="J1024" i="1"/>
  <c r="I1024" i="1"/>
  <c r="H1024" i="1"/>
  <c r="G1024" i="1"/>
  <c r="F1024" i="1"/>
  <c r="G1026" i="1"/>
  <c r="H1026" i="1"/>
  <c r="I1026" i="1"/>
  <c r="J1026" i="1"/>
  <c r="K1026" i="1"/>
  <c r="F1026" i="1"/>
  <c r="K1021" i="1"/>
  <c r="J1021" i="1"/>
  <c r="I1021" i="1"/>
  <c r="H1021" i="1"/>
  <c r="G1021" i="1"/>
  <c r="F1021" i="1"/>
  <c r="F1118" i="1" l="1"/>
  <c r="K1118" i="1"/>
  <c r="J1118" i="1"/>
  <c r="I1118" i="1"/>
  <c r="H1118" i="1"/>
  <c r="G1118" i="1"/>
  <c r="F1120" i="1"/>
  <c r="I1084" i="1"/>
  <c r="G1120" i="1"/>
  <c r="H1120" i="1"/>
  <c r="K1084" i="1"/>
  <c r="I1120" i="1"/>
  <c r="J1120" i="1"/>
  <c r="K1120" i="1"/>
  <c r="I1070" i="1"/>
  <c r="I1096" i="1" s="1"/>
  <c r="H1101" i="1"/>
  <c r="J1101" i="1"/>
  <c r="F1086" i="1"/>
  <c r="G1086" i="1"/>
  <c r="H1086" i="1"/>
  <c r="I1086" i="1"/>
  <c r="F1101" i="1"/>
  <c r="J1086" i="1"/>
  <c r="I1101" i="1"/>
  <c r="K1086" i="1"/>
  <c r="G1101" i="1"/>
  <c r="K1101" i="1"/>
  <c r="K1058" i="1"/>
  <c r="I1058" i="1"/>
  <c r="H1060" i="1"/>
  <c r="I1060" i="1"/>
  <c r="F1060" i="1"/>
  <c r="K1070" i="1"/>
  <c r="K1096" i="1" s="1"/>
  <c r="J1070" i="1"/>
  <c r="J1096" i="1" s="1"/>
  <c r="G1070" i="1"/>
  <c r="G1096" i="1" s="1"/>
  <c r="G1060" i="1"/>
  <c r="H1070" i="1"/>
  <c r="H1096" i="1" s="1"/>
  <c r="J1060" i="1"/>
  <c r="K1060" i="1"/>
  <c r="F1070" i="1"/>
  <c r="F1096" i="1" s="1"/>
  <c r="I1035" i="1"/>
  <c r="G1035" i="1"/>
  <c r="K1035" i="1"/>
  <c r="F1035" i="1"/>
  <c r="H1035" i="1"/>
  <c r="J1035" i="1"/>
  <c r="F1023" i="1"/>
  <c r="F1020" i="1" s="1"/>
  <c r="G1023" i="1"/>
  <c r="G1020" i="1" s="1"/>
  <c r="H1023" i="1"/>
  <c r="H1020" i="1" s="1"/>
  <c r="I1023" i="1"/>
  <c r="I1020" i="1" s="1"/>
  <c r="J1023" i="1"/>
  <c r="J1020" i="1" s="1"/>
  <c r="K1023" i="1"/>
  <c r="K1020" i="1" s="1"/>
  <c r="F1091" i="1" l="1"/>
  <c r="G1091" i="1"/>
  <c r="I1091" i="1"/>
  <c r="H1091" i="1"/>
  <c r="J1091" i="1"/>
  <c r="K1091" i="1"/>
  <c r="G1084" i="1"/>
  <c r="G1097" i="1"/>
  <c r="G1130" i="1"/>
  <c r="K1097" i="1"/>
  <c r="K1130" i="1"/>
  <c r="J1099" i="1"/>
  <c r="J1131" i="1"/>
  <c r="I1099" i="1"/>
  <c r="I1131" i="1"/>
  <c r="F1099" i="1"/>
  <c r="F1131" i="1"/>
  <c r="J1084" i="1"/>
  <c r="I1103" i="1"/>
  <c r="I1133" i="1"/>
  <c r="F1103" i="1"/>
  <c r="F1133" i="1"/>
  <c r="F1084" i="1"/>
  <c r="K1103" i="1"/>
  <c r="K1133" i="1"/>
  <c r="G1099" i="1"/>
  <c r="G1131" i="1"/>
  <c r="H1103" i="1"/>
  <c r="H1133" i="1"/>
  <c r="J1103" i="1"/>
  <c r="J1133" i="1"/>
  <c r="F1097" i="1"/>
  <c r="F1130" i="1"/>
  <c r="H1099" i="1"/>
  <c r="H1131" i="1"/>
  <c r="G1103" i="1"/>
  <c r="G1133" i="1"/>
  <c r="J1097" i="1"/>
  <c r="J1130" i="1"/>
  <c r="I1097" i="1"/>
  <c r="I1130" i="1"/>
  <c r="H1097" i="1"/>
  <c r="H1130" i="1"/>
  <c r="K1099" i="1"/>
  <c r="K1131" i="1"/>
  <c r="H1084" i="1"/>
  <c r="K1014" i="1" l="1"/>
  <c r="K1015" i="1" s="1"/>
  <c r="K1112" i="1" s="1"/>
  <c r="J1014" i="1"/>
  <c r="J1015" i="1" s="1"/>
  <c r="J1112" i="1" s="1"/>
  <c r="I1014" i="1"/>
  <c r="I1015" i="1" s="1"/>
  <c r="I1112" i="1" s="1"/>
  <c r="H1014" i="1"/>
  <c r="H1015" i="1" s="1"/>
  <c r="H1112" i="1" s="1"/>
  <c r="G1014" i="1"/>
  <c r="G1015" i="1" s="1"/>
  <c r="G1112" i="1" s="1"/>
  <c r="F1014" i="1"/>
  <c r="F1015" i="1" s="1"/>
  <c r="F1112" i="1" s="1"/>
  <c r="G1019" i="1" l="1"/>
  <c r="G1018" i="1" s="1"/>
  <c r="G1117" i="1"/>
  <c r="H1019" i="1"/>
  <c r="H1018" i="1" s="1"/>
  <c r="H1117" i="1"/>
  <c r="I1019" i="1"/>
  <c r="I1018" i="1" s="1"/>
  <c r="I1117" i="1"/>
  <c r="J1019" i="1"/>
  <c r="J1018" i="1" s="1"/>
  <c r="J1117" i="1"/>
  <c r="K1019" i="1"/>
  <c r="K1018" i="1" s="1"/>
  <c r="K1117" i="1"/>
  <c r="F1019" i="1"/>
  <c r="F1018" i="1" s="1"/>
  <c r="F1117" i="1"/>
  <c r="K1034" i="1" l="1"/>
  <c r="J1034" i="1"/>
  <c r="J1031" i="1"/>
  <c r="J1032" i="1" s="1"/>
  <c r="I1031" i="1"/>
  <c r="I1032" i="1" s="1"/>
  <c r="H1031" i="1"/>
  <c r="H1032" i="1" s="1"/>
  <c r="F1031" i="1"/>
  <c r="F1032" i="1" s="1"/>
  <c r="G1031" i="1" l="1"/>
  <c r="G1032" i="1" s="1"/>
  <c r="K1031" i="1"/>
  <c r="K1032" i="1" s="1"/>
  <c r="H1034" i="1" l="1"/>
  <c r="I1034" i="1"/>
  <c r="F1034" i="1"/>
  <c r="G1034" i="1"/>
  <c r="G1055" i="1" l="1"/>
  <c r="J1055" i="1"/>
  <c r="K1055" i="1"/>
  <c r="F1055" i="1"/>
  <c r="H1055" i="1"/>
  <c r="I1055" i="1"/>
  <c r="H1081" i="1" l="1"/>
  <c r="F1081" i="1"/>
  <c r="J1081" i="1"/>
  <c r="G1081" i="1"/>
  <c r="K1081" i="1"/>
  <c r="I1081" i="1"/>
  <c r="K1110" i="1" l="1"/>
  <c r="J1110" i="1"/>
  <c r="I1110" i="1"/>
  <c r="H1110" i="1"/>
  <c r="G1110" i="1"/>
  <c r="F1110" i="1"/>
  <c r="G1109" i="1"/>
  <c r="H1109" i="1"/>
  <c r="I1109" i="1"/>
  <c r="J1109" i="1"/>
  <c r="K1109" i="1"/>
  <c r="G1123" i="1"/>
  <c r="H1123" i="1"/>
  <c r="I1123" i="1"/>
  <c r="J1123" i="1"/>
  <c r="K1123" i="1"/>
  <c r="F1109" i="1"/>
  <c r="K1121" i="1"/>
  <c r="J1121" i="1"/>
  <c r="I1121" i="1"/>
  <c r="H1121" i="1"/>
  <c r="G1121" i="1"/>
  <c r="K1108" i="1"/>
  <c r="J1108" i="1"/>
  <c r="I1108" i="1"/>
  <c r="H1108" i="1"/>
  <c r="G1108" i="1"/>
  <c r="K1107" i="1"/>
  <c r="J1107" i="1"/>
  <c r="I1107" i="1"/>
  <c r="H1107" i="1"/>
  <c r="G1107" i="1"/>
  <c r="F1121" i="1"/>
  <c r="F1108" i="1"/>
  <c r="F1107" i="1"/>
  <c r="K992" i="1" l="1"/>
  <c r="J992" i="1"/>
  <c r="F1122" i="1"/>
  <c r="F1111" i="1"/>
  <c r="G1111" i="1"/>
  <c r="G1122" i="1"/>
  <c r="H1111" i="1"/>
  <c r="H1122" i="1"/>
  <c r="I1111" i="1"/>
  <c r="I1122" i="1"/>
  <c r="J1111" i="1"/>
  <c r="J1122" i="1"/>
  <c r="K1111" i="1"/>
  <c r="K1122" i="1"/>
  <c r="F1125" i="1"/>
  <c r="G1125" i="1"/>
  <c r="H1125" i="1"/>
  <c r="I1125" i="1"/>
  <c r="J1125" i="1"/>
  <c r="F988" i="1"/>
  <c r="F1123" i="1"/>
  <c r="K1125" i="1"/>
  <c r="G995" i="1"/>
  <c r="F995" i="1"/>
  <c r="H995" i="1"/>
  <c r="K995" i="1"/>
  <c r="G992" i="1"/>
  <c r="G1012" i="1" s="1"/>
  <c r="G1009" i="1" s="1"/>
  <c r="H992" i="1"/>
  <c r="H1005" i="1" s="1"/>
  <c r="H1124" i="1" s="1"/>
  <c r="I992" i="1"/>
  <c r="I1003" i="1" s="1"/>
  <c r="I1000" i="1" s="1"/>
  <c r="I995" i="1"/>
  <c r="J995" i="1"/>
  <c r="F992" i="1"/>
  <c r="F1005" i="1" s="1"/>
  <c r="F1124" i="1" s="1"/>
  <c r="I975" i="1"/>
  <c r="F990" i="1"/>
  <c r="F991" i="1" s="1"/>
  <c r="J990" i="1"/>
  <c r="J991" i="1" s="1"/>
  <c r="J988" i="1"/>
  <c r="K990" i="1"/>
  <c r="K991" i="1" s="1"/>
  <c r="K988" i="1"/>
  <c r="I990" i="1"/>
  <c r="I991" i="1" s="1"/>
  <c r="I988" i="1"/>
  <c r="H990" i="1"/>
  <c r="H991" i="1" s="1"/>
  <c r="H988" i="1"/>
  <c r="G990" i="1"/>
  <c r="G991" i="1" s="1"/>
  <c r="G988" i="1"/>
  <c r="K985" i="1"/>
  <c r="K984" i="1" s="1"/>
  <c r="J985" i="1"/>
  <c r="J984" i="1" s="1"/>
  <c r="I985" i="1"/>
  <c r="I984" i="1" s="1"/>
  <c r="H985" i="1"/>
  <c r="H984" i="1" s="1"/>
  <c r="G985" i="1"/>
  <c r="G984" i="1" s="1"/>
  <c r="F985" i="1"/>
  <c r="F987" i="1" s="1"/>
  <c r="F986" i="1" s="1"/>
  <c r="K972" i="1"/>
  <c r="H975" i="1"/>
  <c r="J975" i="1"/>
  <c r="K975" i="1"/>
  <c r="G975" i="1"/>
  <c r="H972" i="1"/>
  <c r="I972" i="1"/>
  <c r="G972" i="1"/>
  <c r="J972" i="1"/>
  <c r="F975" i="1"/>
  <c r="F972" i="1"/>
  <c r="K1003" i="1" l="1"/>
  <c r="K1000" i="1" s="1"/>
  <c r="K1005" i="1"/>
  <c r="K1004" i="1" s="1"/>
  <c r="J1012" i="1"/>
  <c r="J1009" i="1" s="1"/>
  <c r="J1005" i="1"/>
  <c r="J1002" i="1"/>
  <c r="J999" i="1" s="1"/>
  <c r="K1012" i="1"/>
  <c r="K1009" i="1" s="1"/>
  <c r="J1003" i="1"/>
  <c r="J1000" i="1" s="1"/>
  <c r="G1005" i="1"/>
  <c r="G1124" i="1" s="1"/>
  <c r="K1002" i="1"/>
  <c r="I1002" i="1"/>
  <c r="I999" i="1" s="1"/>
  <c r="I998" i="1" s="1"/>
  <c r="J1050" i="1"/>
  <c r="J1047" i="1" s="1"/>
  <c r="J1048" i="1" s="1"/>
  <c r="G1050" i="1"/>
  <c r="G1047" i="1" s="1"/>
  <c r="G1048" i="1" s="1"/>
  <c r="H1050" i="1"/>
  <c r="H1047" i="1" s="1"/>
  <c r="H1048" i="1" s="1"/>
  <c r="I1050" i="1"/>
  <c r="I1047" i="1" s="1"/>
  <c r="I1048" i="1" s="1"/>
  <c r="I1005" i="1"/>
  <c r="I1124" i="1" s="1"/>
  <c r="K1050" i="1"/>
  <c r="K1047" i="1" s="1"/>
  <c r="K1048" i="1" s="1"/>
  <c r="F1050" i="1"/>
  <c r="F1047" i="1" s="1"/>
  <c r="F1048" i="1" s="1"/>
  <c r="G1002" i="1"/>
  <c r="G999" i="1" s="1"/>
  <c r="H1002" i="1"/>
  <c r="H999" i="1" s="1"/>
  <c r="H1003" i="1"/>
  <c r="H1000" i="1" s="1"/>
  <c r="G1003" i="1"/>
  <c r="G1000" i="1" s="1"/>
  <c r="F1003" i="1"/>
  <c r="F1000" i="1" s="1"/>
  <c r="I1012" i="1"/>
  <c r="I1009" i="1" s="1"/>
  <c r="H1011" i="1"/>
  <c r="H1008" i="1" s="1"/>
  <c r="F1002" i="1"/>
  <c r="F999" i="1" s="1"/>
  <c r="F1012" i="1"/>
  <c r="F1009" i="1" s="1"/>
  <c r="H1012" i="1"/>
  <c r="H1004" i="1"/>
  <c r="F1011" i="1"/>
  <c r="F1008" i="1" s="1"/>
  <c r="F1004" i="1"/>
  <c r="G987" i="1"/>
  <c r="G986" i="1" s="1"/>
  <c r="G982" i="1" s="1"/>
  <c r="J987" i="1"/>
  <c r="J986" i="1" s="1"/>
  <c r="J982" i="1" s="1"/>
  <c r="H987" i="1"/>
  <c r="H986" i="1" s="1"/>
  <c r="H982" i="1" s="1"/>
  <c r="K987" i="1"/>
  <c r="K986" i="1" s="1"/>
  <c r="K982" i="1" s="1"/>
  <c r="I987" i="1"/>
  <c r="I986" i="1" s="1"/>
  <c r="I982" i="1" s="1"/>
  <c r="F984" i="1"/>
  <c r="F982" i="1" s="1"/>
  <c r="K1124" i="1" l="1"/>
  <c r="K1011" i="1"/>
  <c r="J1124" i="1"/>
  <c r="J1004" i="1"/>
  <c r="J1011" i="1"/>
  <c r="K1001" i="1"/>
  <c r="K999" i="1"/>
  <c r="K998" i="1" s="1"/>
  <c r="I1001" i="1"/>
  <c r="J998" i="1"/>
  <c r="G1004" i="1"/>
  <c r="G1011" i="1"/>
  <c r="G1010" i="1" s="1"/>
  <c r="J1001" i="1"/>
  <c r="I1004" i="1"/>
  <c r="I1011" i="1"/>
  <c r="I1010" i="1" s="1"/>
  <c r="F998" i="1"/>
  <c r="G998" i="1"/>
  <c r="F1007" i="1"/>
  <c r="H998" i="1"/>
  <c r="H1001" i="1"/>
  <c r="G1001" i="1"/>
  <c r="H1010" i="1"/>
  <c r="H1009" i="1"/>
  <c r="H1007" i="1" s="1"/>
  <c r="F1001" i="1"/>
  <c r="F1010" i="1"/>
  <c r="K1008" i="1" l="1"/>
  <c r="K1007" i="1" s="1"/>
  <c r="K1010" i="1"/>
  <c r="J1008" i="1"/>
  <c r="J1007" i="1" s="1"/>
  <c r="J1010" i="1"/>
  <c r="G1008" i="1"/>
  <c r="G1007" i="1" s="1"/>
  <c r="I1008" i="1"/>
  <c r="I1007" i="1" s="1"/>
  <c r="K945" i="1"/>
  <c r="J945" i="1"/>
  <c r="I945" i="1"/>
  <c r="H967" i="1"/>
  <c r="G945" i="1"/>
  <c r="F945" i="1"/>
  <c r="K943" i="1"/>
  <c r="J943" i="1"/>
  <c r="I943" i="1"/>
  <c r="H943" i="1"/>
  <c r="G943" i="1"/>
  <c r="F943" i="1"/>
  <c r="K929" i="1"/>
  <c r="J929" i="1"/>
  <c r="I929" i="1"/>
  <c r="H929" i="1"/>
  <c r="G929" i="1"/>
  <c r="F929" i="1"/>
  <c r="H925" i="1"/>
  <c r="G925" i="1"/>
  <c r="F925" i="1"/>
  <c r="G913" i="1"/>
  <c r="H913" i="1"/>
  <c r="I913" i="1"/>
  <c r="J913" i="1"/>
  <c r="K913" i="1"/>
  <c r="F913" i="1"/>
  <c r="G911" i="1"/>
  <c r="G966" i="1" s="1"/>
  <c r="H911" i="1"/>
  <c r="I911" i="1"/>
  <c r="I966" i="1" s="1"/>
  <c r="J911" i="1"/>
  <c r="J966" i="1" s="1"/>
  <c r="K911" i="1"/>
  <c r="K966" i="1" s="1"/>
  <c r="F911" i="1"/>
  <c r="F966" i="1" s="1"/>
  <c r="J954" i="1"/>
  <c r="H954" i="1"/>
  <c r="F954" i="1"/>
  <c r="K803" i="1"/>
  <c r="J803" i="1"/>
  <c r="I803" i="1"/>
  <c r="H803" i="1"/>
  <c r="G803" i="1"/>
  <c r="F803" i="1"/>
  <c r="F801" i="1"/>
  <c r="G801" i="1"/>
  <c r="H801" i="1"/>
  <c r="I801" i="1"/>
  <c r="J801" i="1"/>
  <c r="K801" i="1"/>
  <c r="C708" i="1"/>
  <c r="E710" i="1"/>
  <c r="C710" i="1"/>
  <c r="H966" i="1" l="1"/>
  <c r="K925" i="1"/>
  <c r="H945" i="1"/>
  <c r="F957" i="1"/>
  <c r="G954" i="1"/>
  <c r="F947" i="1"/>
  <c r="G947" i="1"/>
  <c r="I954" i="1"/>
  <c r="H947" i="1"/>
  <c r="I947" i="1"/>
  <c r="I953" i="1"/>
  <c r="K954" i="1"/>
  <c r="G958" i="1"/>
  <c r="J947" i="1"/>
  <c r="J953" i="1"/>
  <c r="H958" i="1"/>
  <c r="K947" i="1"/>
  <c r="F967" i="1"/>
  <c r="I958" i="1"/>
  <c r="F949" i="1"/>
  <c r="K967" i="1"/>
  <c r="G949" i="1"/>
  <c r="J967" i="1"/>
  <c r="K958" i="1"/>
  <c r="H949" i="1"/>
  <c r="I967" i="1"/>
  <c r="I949" i="1"/>
  <c r="J949" i="1"/>
  <c r="G967" i="1"/>
  <c r="K949" i="1"/>
  <c r="H953" i="1"/>
  <c r="G953" i="1"/>
  <c r="F958" i="1"/>
  <c r="J958" i="1"/>
  <c r="F953" i="1"/>
  <c r="K953" i="1"/>
  <c r="I925" i="1"/>
  <c r="J931" i="1"/>
  <c r="F935" i="1"/>
  <c r="F931" i="1"/>
  <c r="H935" i="1"/>
  <c r="G931" i="1"/>
  <c r="J935" i="1"/>
  <c r="J925" i="1"/>
  <c r="K935" i="1"/>
  <c r="G935" i="1"/>
  <c r="I931" i="1"/>
  <c r="I935" i="1"/>
  <c r="K931" i="1"/>
  <c r="H931" i="1"/>
  <c r="F898" i="1"/>
  <c r="K710" i="1"/>
  <c r="J710" i="1"/>
  <c r="I710" i="1"/>
  <c r="H710" i="1"/>
  <c r="G710" i="1"/>
  <c r="F710" i="1"/>
  <c r="G708" i="1"/>
  <c r="H708" i="1"/>
  <c r="I708" i="1"/>
  <c r="J708" i="1"/>
  <c r="K708" i="1"/>
  <c r="F708" i="1"/>
  <c r="H711" i="1" l="1"/>
  <c r="F711" i="1"/>
  <c r="I711" i="1"/>
  <c r="J711" i="1"/>
  <c r="K711" i="1"/>
  <c r="G711" i="1"/>
  <c r="K737" i="1"/>
  <c r="J737" i="1"/>
  <c r="I737" i="1"/>
  <c r="H737" i="1"/>
  <c r="G737" i="1"/>
  <c r="F737" i="1"/>
  <c r="K721" i="1"/>
  <c r="J721" i="1"/>
  <c r="I721" i="1"/>
  <c r="H721" i="1"/>
  <c r="G721" i="1"/>
  <c r="F721" i="1"/>
  <c r="C713" i="1"/>
  <c r="C715" i="1" s="1"/>
  <c r="C712" i="1"/>
  <c r="C714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7" i="1" s="1"/>
  <c r="C738" i="1" s="1"/>
  <c r="C739" i="1" s="1"/>
  <c r="C740" i="1" s="1"/>
  <c r="C741" i="1" s="1"/>
  <c r="C742" i="1" s="1"/>
  <c r="K713" i="1"/>
  <c r="J713" i="1"/>
  <c r="C697" i="1"/>
  <c r="C698" i="1" s="1"/>
  <c r="C699" i="1" s="1"/>
  <c r="C700" i="1" s="1"/>
  <c r="C701" i="1" s="1"/>
  <c r="C702" i="1" s="1"/>
  <c r="K682" i="1"/>
  <c r="J682" i="1"/>
  <c r="I682" i="1"/>
  <c r="H682" i="1"/>
  <c r="G682" i="1"/>
  <c r="F682" i="1"/>
  <c r="C678" i="1"/>
  <c r="C679" i="1" s="1"/>
  <c r="C681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61" i="1"/>
  <c r="C662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F713" i="1" l="1"/>
  <c r="G713" i="1"/>
  <c r="H713" i="1"/>
  <c r="I713" i="1"/>
  <c r="I730" i="1"/>
  <c r="C743" i="1"/>
  <c r="C744" i="1" s="1"/>
  <c r="C745" i="1" s="1"/>
  <c r="F731" i="1"/>
  <c r="J699" i="1"/>
  <c r="J730" i="1"/>
  <c r="H684" i="1"/>
  <c r="F730" i="1"/>
  <c r="K715" i="1"/>
  <c r="K712" i="1" s="1"/>
  <c r="J728" i="1"/>
  <c r="I715" i="1"/>
  <c r="G730" i="1"/>
  <c r="H715" i="1"/>
  <c r="K730" i="1"/>
  <c r="C734" i="1"/>
  <c r="C735" i="1" s="1"/>
  <c r="C736" i="1" s="1"/>
  <c r="G731" i="1"/>
  <c r="H730" i="1"/>
  <c r="H731" i="1"/>
  <c r="I731" i="1"/>
  <c r="J731" i="1"/>
  <c r="F715" i="1"/>
  <c r="K731" i="1"/>
  <c r="G715" i="1"/>
  <c r="F728" i="1"/>
  <c r="G728" i="1"/>
  <c r="H728" i="1"/>
  <c r="J715" i="1"/>
  <c r="J712" i="1" s="1"/>
  <c r="I728" i="1"/>
  <c r="K728" i="1"/>
  <c r="K699" i="1"/>
  <c r="H699" i="1"/>
  <c r="I698" i="1"/>
  <c r="G699" i="1"/>
  <c r="I684" i="1"/>
  <c r="J697" i="1"/>
  <c r="I699" i="1"/>
  <c r="G697" i="1"/>
  <c r="I697" i="1"/>
  <c r="H698" i="1"/>
  <c r="J678" i="1"/>
  <c r="F698" i="1"/>
  <c r="G698" i="1"/>
  <c r="J698" i="1"/>
  <c r="G693" i="1"/>
  <c r="F697" i="1"/>
  <c r="F699" i="1"/>
  <c r="K697" i="1"/>
  <c r="K698" i="1"/>
  <c r="G684" i="1"/>
  <c r="H697" i="1"/>
  <c r="C703" i="1"/>
  <c r="F678" i="1"/>
  <c r="J693" i="1"/>
  <c r="I693" i="1"/>
  <c r="K684" i="1"/>
  <c r="F693" i="1"/>
  <c r="H693" i="1"/>
  <c r="G678" i="1"/>
  <c r="K693" i="1"/>
  <c r="F684" i="1"/>
  <c r="K678" i="1"/>
  <c r="H678" i="1"/>
  <c r="I678" i="1"/>
  <c r="J684" i="1"/>
  <c r="C680" i="1"/>
  <c r="C663" i="1"/>
  <c r="C682" i="1"/>
  <c r="C683" i="1" s="1"/>
  <c r="F712" i="1" l="1"/>
  <c r="G712" i="1"/>
  <c r="H712" i="1"/>
  <c r="I712" i="1"/>
  <c r="H739" i="1"/>
  <c r="H733" i="1" s="1"/>
  <c r="H750" i="1" s="1"/>
  <c r="F739" i="1"/>
  <c r="F733" i="1" s="1"/>
  <c r="F732" i="1" s="1"/>
  <c r="I739" i="1"/>
  <c r="I733" i="1" s="1"/>
  <c r="I745" i="1" s="1"/>
  <c r="J739" i="1"/>
  <c r="J733" i="1" s="1"/>
  <c r="F729" i="1"/>
  <c r="C746" i="1"/>
  <c r="C747" i="1" s="1"/>
  <c r="C748" i="1" s="1"/>
  <c r="C749" i="1"/>
  <c r="C750" i="1" s="1"/>
  <c r="C751" i="1" s="1"/>
  <c r="F723" i="1"/>
  <c r="F720" i="1" s="1"/>
  <c r="F719" i="1" s="1"/>
  <c r="G739" i="1"/>
  <c r="G733" i="1" s="1"/>
  <c r="I729" i="1"/>
  <c r="J729" i="1"/>
  <c r="K739" i="1"/>
  <c r="K733" i="1" s="1"/>
  <c r="I723" i="1"/>
  <c r="I720" i="1" s="1"/>
  <c r="I719" i="1" s="1"/>
  <c r="H723" i="1"/>
  <c r="H720" i="1" s="1"/>
  <c r="H719" i="1" s="1"/>
  <c r="K729" i="1"/>
  <c r="G729" i="1"/>
  <c r="K723" i="1"/>
  <c r="K720" i="1" s="1"/>
  <c r="K719" i="1" s="1"/>
  <c r="J723" i="1"/>
  <c r="J720" i="1" s="1"/>
  <c r="J719" i="1" s="1"/>
  <c r="G723" i="1"/>
  <c r="G720" i="1" s="1"/>
  <c r="G719" i="1" s="1"/>
  <c r="H729" i="1"/>
  <c r="H677" i="1"/>
  <c r="E11" i="4" s="1"/>
  <c r="K677" i="1"/>
  <c r="H11" i="4" s="1"/>
  <c r="I677" i="1"/>
  <c r="F11" i="4" s="1"/>
  <c r="F677" i="1"/>
  <c r="C11" i="4" s="1"/>
  <c r="J677" i="1"/>
  <c r="G11" i="4" s="1"/>
  <c r="G677" i="1"/>
  <c r="D11" i="4" s="1"/>
  <c r="J734" i="1" l="1" a="1"/>
  <c r="J734" i="1" s="1"/>
  <c r="J743" i="1" s="1"/>
  <c r="J736" i="1" a="1"/>
  <c r="J736" i="1" s="1"/>
  <c r="J756" i="1" s="1"/>
  <c r="K734" i="1" a="1"/>
  <c r="K734" i="1" s="1"/>
  <c r="K736" i="1" a="1"/>
  <c r="K736" i="1" s="1"/>
  <c r="J732" i="1"/>
  <c r="H746" i="1"/>
  <c r="H756" i="1"/>
  <c r="H732" i="1"/>
  <c r="H753" i="1"/>
  <c r="H749" i="1"/>
  <c r="H760" i="1"/>
  <c r="H752" i="1"/>
  <c r="H743" i="1"/>
  <c r="H759" i="1"/>
  <c r="F753" i="1"/>
  <c r="I757" i="1"/>
  <c r="I744" i="1"/>
  <c r="I748" i="1"/>
  <c r="H747" i="1"/>
  <c r="I755" i="1"/>
  <c r="I752" i="1"/>
  <c r="I743" i="1"/>
  <c r="I753" i="1"/>
  <c r="I749" i="1"/>
  <c r="I759" i="1"/>
  <c r="I746" i="1"/>
  <c r="H757" i="1"/>
  <c r="I756" i="1"/>
  <c r="H744" i="1"/>
  <c r="I732" i="1"/>
  <c r="H754" i="1"/>
  <c r="H751" i="1"/>
  <c r="H748" i="1"/>
  <c r="F744" i="1"/>
  <c r="F754" i="1"/>
  <c r="F758" i="1"/>
  <c r="F751" i="1"/>
  <c r="F748" i="1"/>
  <c r="F752" i="1"/>
  <c r="F745" i="1"/>
  <c r="F755" i="1"/>
  <c r="F747" i="1"/>
  <c r="F757" i="1"/>
  <c r="F749" i="1"/>
  <c r="F759" i="1"/>
  <c r="F756" i="1"/>
  <c r="F750" i="1"/>
  <c r="F760" i="1"/>
  <c r="F746" i="1"/>
  <c r="F743" i="1"/>
  <c r="H758" i="1"/>
  <c r="I747" i="1"/>
  <c r="H745" i="1"/>
  <c r="H755" i="1"/>
  <c r="I754" i="1"/>
  <c r="I751" i="1"/>
  <c r="I750" i="1"/>
  <c r="I760" i="1"/>
  <c r="I758" i="1"/>
  <c r="K732" i="1"/>
  <c r="C752" i="1"/>
  <c r="C753" i="1" s="1"/>
  <c r="C754" i="1" s="1"/>
  <c r="C755" i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G732" i="1"/>
  <c r="G753" i="1"/>
  <c r="G743" i="1"/>
  <c r="G756" i="1"/>
  <c r="G746" i="1"/>
  <c r="G760" i="1"/>
  <c r="G750" i="1"/>
  <c r="G759" i="1"/>
  <c r="G749" i="1"/>
  <c r="G752" i="1"/>
  <c r="G755" i="1"/>
  <c r="G745" i="1"/>
  <c r="G757" i="1"/>
  <c r="G747" i="1"/>
  <c r="G758" i="1"/>
  <c r="G748" i="1"/>
  <c r="G751" i="1"/>
  <c r="G754" i="1"/>
  <c r="G744" i="1"/>
  <c r="E599" i="1"/>
  <c r="E600" i="1" s="1"/>
  <c r="E601" i="1" s="1"/>
  <c r="J757" i="1" l="1"/>
  <c r="J760" i="1"/>
  <c r="J745" i="1"/>
  <c r="J746" i="1"/>
  <c r="J759" i="1"/>
  <c r="J758" i="1"/>
  <c r="J755" i="1"/>
  <c r="J735" i="1"/>
  <c r="J747" i="1"/>
  <c r="J744" i="1"/>
  <c r="J748" i="1"/>
  <c r="C779" i="1"/>
  <c r="C780" i="1" s="1"/>
  <c r="C781" i="1" s="1"/>
  <c r="C778" i="1"/>
  <c r="K759" i="1"/>
  <c r="K756" i="1"/>
  <c r="K755" i="1"/>
  <c r="K758" i="1"/>
  <c r="K757" i="1"/>
  <c r="K760" i="1"/>
  <c r="K735" i="1"/>
  <c r="K746" i="1"/>
  <c r="K745" i="1"/>
  <c r="K748" i="1"/>
  <c r="K743" i="1"/>
  <c r="K744" i="1"/>
  <c r="K747" i="1"/>
  <c r="J656" i="1"/>
  <c r="J639" i="1"/>
  <c r="K656" i="1"/>
  <c r="F657" i="1"/>
  <c r="G657" i="1"/>
  <c r="F654" i="1"/>
  <c r="H657" i="1"/>
  <c r="G654" i="1"/>
  <c r="I657" i="1"/>
  <c r="H654" i="1"/>
  <c r="J657" i="1"/>
  <c r="I654" i="1"/>
  <c r="K657" i="1"/>
  <c r="J654" i="1"/>
  <c r="F649" i="1"/>
  <c r="F658" i="1"/>
  <c r="K654" i="1"/>
  <c r="G649" i="1"/>
  <c r="G658" i="1"/>
  <c r="F655" i="1"/>
  <c r="H649" i="1"/>
  <c r="H658" i="1"/>
  <c r="K639" i="1"/>
  <c r="G655" i="1"/>
  <c r="I649" i="1"/>
  <c r="I658" i="1"/>
  <c r="H655" i="1"/>
  <c r="J649" i="1"/>
  <c r="J658" i="1"/>
  <c r="I655" i="1"/>
  <c r="K649" i="1"/>
  <c r="K658" i="1"/>
  <c r="J655" i="1"/>
  <c r="F659" i="1"/>
  <c r="K655" i="1"/>
  <c r="G659" i="1"/>
  <c r="G589" i="1"/>
  <c r="F656" i="1"/>
  <c r="H659" i="1"/>
  <c r="G656" i="1"/>
  <c r="I659" i="1"/>
  <c r="H656" i="1"/>
  <c r="J659" i="1"/>
  <c r="I656" i="1"/>
  <c r="K659" i="1"/>
  <c r="F644" i="1"/>
  <c r="H644" i="1"/>
  <c r="G644" i="1"/>
  <c r="I644" i="1"/>
  <c r="K644" i="1"/>
  <c r="J644" i="1"/>
  <c r="F639" i="1"/>
  <c r="H629" i="1"/>
  <c r="G639" i="1"/>
  <c r="J629" i="1"/>
  <c r="I639" i="1"/>
  <c r="H639" i="1"/>
  <c r="H634" i="1"/>
  <c r="G634" i="1"/>
  <c r="K634" i="1"/>
  <c r="I634" i="1"/>
  <c r="F634" i="1"/>
  <c r="J634" i="1"/>
  <c r="J632" i="1" s="1"/>
  <c r="G624" i="1"/>
  <c r="H624" i="1"/>
  <c r="I624" i="1"/>
  <c r="J624" i="1"/>
  <c r="F624" i="1"/>
  <c r="K624" i="1"/>
  <c r="F629" i="1"/>
  <c r="G629" i="1"/>
  <c r="I629" i="1"/>
  <c r="K629" i="1"/>
  <c r="F585" i="1"/>
  <c r="F584" i="1" s="1"/>
  <c r="G611" i="1"/>
  <c r="F599" i="1"/>
  <c r="G599" i="1"/>
  <c r="H589" i="1"/>
  <c r="F603" i="1"/>
  <c r="I589" i="1"/>
  <c r="F597" i="1"/>
  <c r="H597" i="1"/>
  <c r="G597" i="1"/>
  <c r="G596" i="1"/>
  <c r="I596" i="1"/>
  <c r="I606" i="1"/>
  <c r="J596" i="1"/>
  <c r="I611" i="1"/>
  <c r="H596" i="1"/>
  <c r="G585" i="1"/>
  <c r="G584" i="1" s="1"/>
  <c r="J589" i="1"/>
  <c r="K589" i="1"/>
  <c r="K596" i="1"/>
  <c r="G603" i="1"/>
  <c r="J597" i="1"/>
  <c r="K597" i="1"/>
  <c r="F606" i="1"/>
  <c r="I597" i="1"/>
  <c r="H603" i="1"/>
  <c r="I585" i="1"/>
  <c r="I584" i="1" s="1"/>
  <c r="J585" i="1"/>
  <c r="J584" i="1" s="1"/>
  <c r="K585" i="1"/>
  <c r="K584" i="1" s="1"/>
  <c r="F611" i="1"/>
  <c r="G592" i="1"/>
  <c r="F596" i="1"/>
  <c r="H585" i="1"/>
  <c r="H584" i="1" s="1"/>
  <c r="H592" i="1"/>
  <c r="H599" i="1"/>
  <c r="I592" i="1"/>
  <c r="I599" i="1"/>
  <c r="J599" i="1"/>
  <c r="K599" i="1"/>
  <c r="H611" i="1"/>
  <c r="K611" i="1"/>
  <c r="J611" i="1"/>
  <c r="I603" i="1"/>
  <c r="F610" i="1"/>
  <c r="J603" i="1"/>
  <c r="G610" i="1"/>
  <c r="K603" i="1"/>
  <c r="H610" i="1"/>
  <c r="I610" i="1"/>
  <c r="J610" i="1"/>
  <c r="K610" i="1"/>
  <c r="J592" i="1"/>
  <c r="K592" i="1"/>
  <c r="J606" i="1"/>
  <c r="K606" i="1"/>
  <c r="G606" i="1"/>
  <c r="H606" i="1"/>
  <c r="F592" i="1"/>
  <c r="F589" i="1"/>
  <c r="J750" i="1" l="1"/>
  <c r="J749" i="1"/>
  <c r="J752" i="1"/>
  <c r="J753" i="1"/>
  <c r="J751" i="1"/>
  <c r="J754" i="1"/>
  <c r="K622" i="1"/>
  <c r="J622" i="1"/>
  <c r="C783" i="1"/>
  <c r="C784" i="1" s="1"/>
  <c r="C782" i="1"/>
  <c r="K632" i="1"/>
  <c r="K749" i="1"/>
  <c r="K752" i="1"/>
  <c r="K751" i="1"/>
  <c r="K753" i="1"/>
  <c r="K754" i="1"/>
  <c r="K750" i="1"/>
  <c r="G642" i="1"/>
  <c r="H632" i="1"/>
  <c r="F622" i="1"/>
  <c r="I622" i="1"/>
  <c r="F642" i="1"/>
  <c r="G622" i="1"/>
  <c r="F632" i="1"/>
  <c r="G588" i="1"/>
  <c r="I632" i="1"/>
  <c r="G632" i="1"/>
  <c r="H642" i="1"/>
  <c r="H622" i="1"/>
  <c r="J642" i="1"/>
  <c r="I642" i="1"/>
  <c r="K642" i="1"/>
  <c r="H588" i="1"/>
  <c r="I588" i="1"/>
  <c r="J602" i="1"/>
  <c r="F602" i="1"/>
  <c r="K602" i="1"/>
  <c r="I602" i="1"/>
  <c r="H602" i="1"/>
  <c r="G602" i="1"/>
  <c r="J588" i="1"/>
  <c r="K588" i="1"/>
  <c r="F588" i="1"/>
  <c r="H10" i="4" l="1"/>
  <c r="C10" i="4"/>
  <c r="G10" i="4"/>
  <c r="F10" i="4"/>
  <c r="E10" i="4"/>
  <c r="D10" i="4"/>
  <c r="C786" i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785" i="1"/>
  <c r="C880" i="1" l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15" i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K504" i="1"/>
  <c r="J504" i="1"/>
  <c r="I504" i="1"/>
  <c r="H504" i="1"/>
  <c r="G504" i="1"/>
  <c r="F504" i="1"/>
  <c r="C895" i="1" l="1"/>
  <c r="C896" i="1" s="1"/>
  <c r="C897" i="1" s="1"/>
  <c r="C894" i="1"/>
  <c r="C853" i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924" i="1"/>
  <c r="C925" i="1" s="1"/>
  <c r="C926" i="1" s="1"/>
  <c r="C927" i="1" s="1"/>
  <c r="C928" i="1" s="1"/>
  <c r="C929" i="1" s="1"/>
  <c r="C930" i="1" s="1"/>
  <c r="C931" i="1" s="1"/>
  <c r="C932" i="1" s="1"/>
  <c r="C934" i="1" l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33" i="1"/>
  <c r="C899" i="1"/>
  <c r="C900" i="1" s="1"/>
  <c r="C898" i="1"/>
  <c r="C953" i="1" l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02" i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01" i="1"/>
  <c r="C920" i="1" l="1"/>
  <c r="C921" i="1" s="1"/>
  <c r="C922" i="1" s="1"/>
  <c r="C970" i="1" s="1"/>
  <c r="C971" i="1" s="1"/>
  <c r="C918" i="1"/>
  <c r="C919" i="1" s="1"/>
  <c r="C923" i="1" l="1"/>
  <c r="C972" i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6" i="1" l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034" i="1"/>
  <c r="C1035" i="1" s="1"/>
  <c r="F959" i="1"/>
  <c r="G959" i="1"/>
  <c r="H959" i="1"/>
  <c r="I959" i="1"/>
  <c r="J959" i="1"/>
  <c r="K959" i="1"/>
  <c r="C1107" i="1" l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J919" i="1"/>
  <c r="J918" i="1" s="1"/>
  <c r="I919" i="1"/>
  <c r="I918" i="1" s="1"/>
  <c r="H919" i="1"/>
  <c r="H918" i="1" s="1"/>
  <c r="G919" i="1"/>
  <c r="G918" i="1" s="1"/>
  <c r="F919" i="1"/>
  <c r="F918" i="1" s="1"/>
  <c r="K919" i="1"/>
  <c r="K918" i="1" s="1"/>
  <c r="J812" i="1"/>
  <c r="I812" i="1"/>
  <c r="H812" i="1"/>
  <c r="G812" i="1"/>
  <c r="F812" i="1"/>
  <c r="K812" i="1"/>
  <c r="C1150" i="1" l="1"/>
  <c r="C1151" i="1" s="1"/>
  <c r="C1152" i="1" s="1"/>
  <c r="C1153" i="1" s="1"/>
  <c r="C1154" i="1" s="1"/>
  <c r="C1155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45" i="1"/>
  <c r="C1146" i="1" s="1"/>
  <c r="C1147" i="1" s="1"/>
  <c r="C1148" i="1" s="1"/>
  <c r="C1149" i="1" s="1"/>
  <c r="F969" i="1"/>
  <c r="J969" i="1"/>
  <c r="H969" i="1"/>
  <c r="K969" i="1"/>
  <c r="G969" i="1"/>
  <c r="I969" i="1"/>
  <c r="K957" i="1"/>
  <c r="F892" i="1"/>
  <c r="G957" i="1"/>
  <c r="H957" i="1"/>
  <c r="I957" i="1"/>
  <c r="J957" i="1"/>
  <c r="C1156" i="1" l="1"/>
  <c r="C1157" i="1" s="1"/>
  <c r="C1158" i="1" s="1"/>
  <c r="C1159" i="1" s="1"/>
  <c r="C1183" i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179" i="1"/>
  <c r="C1180" i="1" s="1"/>
  <c r="C1181" i="1" s="1"/>
  <c r="C1182" i="1" s="1"/>
  <c r="J892" i="1"/>
  <c r="J898" i="1"/>
  <c r="I892" i="1"/>
  <c r="I898" i="1"/>
  <c r="H892" i="1"/>
  <c r="H898" i="1"/>
  <c r="G892" i="1"/>
  <c r="G898" i="1"/>
  <c r="K892" i="1"/>
  <c r="K898" i="1"/>
  <c r="C1206" i="1" l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202" i="1"/>
  <c r="C1203" i="1" s="1"/>
  <c r="C1204" i="1" s="1"/>
  <c r="C1205" i="1" s="1"/>
  <c r="C1488" i="1" l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484" i="1"/>
  <c r="C1485" i="1" s="1"/>
  <c r="C1486" i="1" s="1"/>
  <c r="C1487" i="1" s="1"/>
  <c r="F612" i="1"/>
  <c r="F653" i="1"/>
  <c r="G612" i="1"/>
  <c r="G653" i="1"/>
  <c r="H653" i="1"/>
  <c r="H612" i="1"/>
  <c r="I653" i="1"/>
  <c r="I612" i="1"/>
  <c r="J653" i="1"/>
  <c r="J612" i="1"/>
  <c r="K612" i="1"/>
  <c r="K653" i="1"/>
  <c r="C1506" i="1" l="1"/>
  <c r="C1511" i="1"/>
  <c r="C1512" i="1" l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507" i="1"/>
  <c r="C1508" i="1" s="1"/>
  <c r="C1509" i="1" s="1"/>
  <c r="C1510" i="1" s="1"/>
  <c r="C1753" i="1" l="1"/>
  <c r="C1754" i="1" s="1"/>
  <c r="C1755" i="1" s="1"/>
  <c r="C1756" i="1" s="1"/>
  <c r="C1757" i="1" s="1"/>
  <c r="C1758" i="1" s="1"/>
  <c r="C1759" i="1" s="1"/>
  <c r="C1760" i="1" s="1"/>
  <c r="C1761" i="1"/>
  <c r="C1762" i="1" s="1"/>
  <c r="C1763" i="1" s="1"/>
  <c r="C1764" i="1" s="1"/>
  <c r="C1765" i="1" s="1"/>
  <c r="K581" i="1"/>
  <c r="J581" i="1"/>
  <c r="I581" i="1"/>
  <c r="H581" i="1"/>
  <c r="G581" i="1"/>
  <c r="F581" i="1"/>
  <c r="C1766" i="1" l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G441" i="1"/>
  <c r="F441" i="1"/>
  <c r="H441" i="1"/>
  <c r="I441" i="1"/>
  <c r="J441" i="1"/>
  <c r="K441" i="1"/>
  <c r="C1782" i="1" l="1"/>
  <c r="C1783" i="1" s="1"/>
  <c r="C1784" i="1" s="1"/>
  <c r="C1785" i="1" s="1"/>
  <c r="C1786" i="1" s="1"/>
  <c r="C1787" i="1" s="1"/>
  <c r="F890" i="1"/>
  <c r="G890" i="1"/>
  <c r="H890" i="1"/>
  <c r="I890" i="1"/>
  <c r="J890" i="1"/>
  <c r="K890" i="1"/>
  <c r="C1788" i="1" l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6" i="1" s="1"/>
  <c r="C1807" i="1" s="1"/>
  <c r="C1804" i="1" s="1"/>
  <c r="G889" i="1"/>
  <c r="G886" i="1" s="1"/>
  <c r="G887" i="1"/>
  <c r="H889" i="1"/>
  <c r="H886" i="1" s="1"/>
  <c r="H887" i="1"/>
  <c r="I887" i="1"/>
  <c r="I889" i="1"/>
  <c r="I886" i="1" s="1"/>
  <c r="K887" i="1"/>
  <c r="K889" i="1"/>
  <c r="K886" i="1" s="1"/>
  <c r="F889" i="1"/>
  <c r="F886" i="1" s="1"/>
  <c r="F887" i="1"/>
  <c r="J887" i="1"/>
  <c r="J889" i="1"/>
  <c r="J886" i="1" s="1"/>
  <c r="C1808" i="1" l="1"/>
  <c r="C1805" i="1"/>
  <c r="I885" i="1"/>
  <c r="I956" i="1"/>
  <c r="F885" i="1"/>
  <c r="F956" i="1"/>
  <c r="J885" i="1"/>
  <c r="J956" i="1"/>
  <c r="K885" i="1"/>
  <c r="K956" i="1"/>
  <c r="H885" i="1"/>
  <c r="H956" i="1"/>
  <c r="G885" i="1"/>
  <c r="G956" i="1"/>
  <c r="K509" i="1"/>
  <c r="J509" i="1"/>
  <c r="I509" i="1"/>
  <c r="H509" i="1"/>
  <c r="G509" i="1"/>
  <c r="F509" i="1"/>
  <c r="C1809" i="1" l="1"/>
  <c r="C1810" i="1" s="1"/>
  <c r="C1811" i="1" s="1"/>
  <c r="C1812" i="1" s="1"/>
  <c r="C1813" i="1" s="1"/>
  <c r="C1814" i="1" s="1"/>
  <c r="C1815" i="1" s="1"/>
  <c r="C1816" i="1" s="1"/>
  <c r="C1817" i="1" s="1"/>
  <c r="C1880" i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022" i="1" s="1"/>
  <c r="C2023" i="1" s="1"/>
  <c r="C2024" i="1" s="1"/>
  <c r="C2025" i="1" s="1"/>
  <c r="C2026" i="1" s="1"/>
  <c r="C2027" i="1" s="1"/>
  <c r="C1818" i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19" i="1"/>
  <c r="K921" i="1"/>
  <c r="J921" i="1"/>
  <c r="I921" i="1"/>
  <c r="H921" i="1"/>
  <c r="G921" i="1"/>
  <c r="F921" i="1"/>
  <c r="K815" i="1"/>
  <c r="J815" i="1"/>
  <c r="I815" i="1"/>
  <c r="H815" i="1"/>
  <c r="G815" i="1"/>
  <c r="F815" i="1"/>
  <c r="K810" i="1"/>
  <c r="J810" i="1"/>
  <c r="I810" i="1"/>
  <c r="H810" i="1"/>
  <c r="G810" i="1"/>
  <c r="F810" i="1"/>
  <c r="K788" i="1"/>
  <c r="J788" i="1"/>
  <c r="I788" i="1"/>
  <c r="H788" i="1"/>
  <c r="G788" i="1"/>
  <c r="F788" i="1"/>
  <c r="K915" i="1" l="1"/>
  <c r="K880" i="1" s="1"/>
  <c r="H5" i="4" s="1"/>
  <c r="K968" i="1"/>
  <c r="J915" i="1"/>
  <c r="J880" i="1" s="1"/>
  <c r="G5" i="4" s="1"/>
  <c r="J968" i="1"/>
  <c r="G915" i="1"/>
  <c r="G968" i="1"/>
  <c r="F915" i="1"/>
  <c r="F968" i="1"/>
  <c r="H915" i="1"/>
  <c r="H880" i="1" s="1"/>
  <c r="E5" i="4" s="1"/>
  <c r="H968" i="1"/>
  <c r="I915" i="1"/>
  <c r="I880" i="1" s="1"/>
  <c r="F5" i="4" s="1"/>
  <c r="I968" i="1"/>
  <c r="F806" i="1"/>
  <c r="F808" i="1" s="1"/>
  <c r="G806" i="1"/>
  <c r="G808" i="1" s="1"/>
  <c r="I806" i="1"/>
  <c r="I808" i="1" s="1"/>
  <c r="K806" i="1"/>
  <c r="K808" i="1" s="1"/>
  <c r="H806" i="1"/>
  <c r="H808" i="1" s="1"/>
  <c r="J806" i="1"/>
  <c r="J808" i="1" s="1"/>
  <c r="G880" i="1" l="1"/>
  <c r="D5" i="4" s="1"/>
  <c r="F880" i="1"/>
  <c r="C5" i="4" s="1"/>
  <c r="I842" i="1" l="1"/>
  <c r="I875" i="1"/>
  <c r="G842" i="1"/>
  <c r="G875" i="1"/>
  <c r="F844" i="1"/>
  <c r="F876" i="1"/>
  <c r="H842" i="1"/>
  <c r="H875" i="1"/>
  <c r="K842" i="1"/>
  <c r="K875" i="1"/>
  <c r="G844" i="1"/>
  <c r="G876" i="1"/>
  <c r="I844" i="1"/>
  <c r="I876" i="1"/>
  <c r="J844" i="1"/>
  <c r="J876" i="1"/>
  <c r="F846" i="1"/>
  <c r="F877" i="1"/>
  <c r="J846" i="1"/>
  <c r="J877" i="1"/>
  <c r="F842" i="1"/>
  <c r="F875" i="1"/>
  <c r="J842" i="1"/>
  <c r="J875" i="1"/>
  <c r="H844" i="1"/>
  <c r="H876" i="1"/>
  <c r="K844" i="1"/>
  <c r="K876" i="1"/>
  <c r="G846" i="1"/>
  <c r="G877" i="1"/>
  <c r="H846" i="1"/>
  <c r="H877" i="1"/>
  <c r="I846" i="1"/>
  <c r="I877" i="1"/>
  <c r="K846" i="1"/>
  <c r="K877" i="1"/>
  <c r="F828" i="1"/>
  <c r="F864" i="1"/>
  <c r="G828" i="1"/>
  <c r="G864" i="1"/>
  <c r="H828" i="1"/>
  <c r="H864" i="1"/>
  <c r="J828" i="1"/>
  <c r="J864" i="1"/>
  <c r="K828" i="1"/>
  <c r="K864" i="1"/>
  <c r="I828" i="1"/>
  <c r="I864" i="1"/>
  <c r="F706" i="1" l="1"/>
  <c r="I701" i="1"/>
  <c r="J701" i="1"/>
  <c r="K701" i="1"/>
  <c r="G703" i="1"/>
  <c r="H703" i="1"/>
  <c r="I703" i="1"/>
  <c r="J703" i="1"/>
  <c r="K703" i="1"/>
  <c r="F701" i="1"/>
  <c r="F703" i="1"/>
  <c r="J706" i="1" l="1"/>
  <c r="I706" i="1"/>
  <c r="G706" i="1"/>
  <c r="K706" i="1"/>
  <c r="H706" i="1"/>
  <c r="H670" i="1"/>
  <c r="H701" i="1"/>
  <c r="G670" i="1"/>
  <c r="G701" i="1"/>
  <c r="H700" i="1"/>
  <c r="F700" i="1"/>
  <c r="K700" i="1"/>
  <c r="J700" i="1"/>
  <c r="F692" i="1"/>
  <c r="F689" i="1" s="1"/>
  <c r="I700" i="1"/>
  <c r="G692" i="1" l="1"/>
  <c r="G689" i="1" s="1"/>
  <c r="H692" i="1"/>
  <c r="H689" i="1" s="1"/>
  <c r="J674" i="1"/>
  <c r="J660" i="1" s="1"/>
  <c r="J702" i="1"/>
  <c r="I674" i="1"/>
  <c r="I660" i="1" s="1"/>
  <c r="I702" i="1"/>
  <c r="K674" i="1"/>
  <c r="K660" i="1" s="1"/>
  <c r="K702" i="1"/>
  <c r="F674" i="1"/>
  <c r="F660" i="1" s="1"/>
  <c r="F702" i="1"/>
  <c r="H674" i="1"/>
  <c r="H660" i="1" s="1"/>
  <c r="H702" i="1"/>
  <c r="G674" i="1"/>
  <c r="G660" i="1" s="1"/>
  <c r="G702" i="1"/>
  <c r="G691" i="1"/>
  <c r="G688" i="1" s="1"/>
  <c r="G700" i="1"/>
  <c r="F670" i="1"/>
  <c r="J670" i="1"/>
  <c r="J692" i="1"/>
  <c r="J689" i="1" s="1"/>
  <c r="I670" i="1"/>
  <c r="I692" i="1"/>
  <c r="I689" i="1" s="1"/>
  <c r="K670" i="1"/>
  <c r="K692" i="1"/>
  <c r="K689" i="1" s="1"/>
  <c r="J669" i="1"/>
  <c r="G690" i="1" l="1"/>
  <c r="G687" i="1" s="1"/>
  <c r="G671" i="1"/>
  <c r="G668" i="1" s="1"/>
  <c r="G669" i="1"/>
  <c r="J671" i="1"/>
  <c r="J668" i="1" s="1"/>
  <c r="J691" i="1"/>
  <c r="K671" i="1"/>
  <c r="K668" i="1" s="1"/>
  <c r="K691" i="1"/>
  <c r="F671" i="1"/>
  <c r="F668" i="1" s="1"/>
  <c r="F691" i="1"/>
  <c r="H671" i="1"/>
  <c r="H668" i="1" s="1"/>
  <c r="H691" i="1"/>
  <c r="I669" i="1"/>
  <c r="I691" i="1"/>
  <c r="I671" i="1"/>
  <c r="I668" i="1" s="1"/>
  <c r="F669" i="1"/>
  <c r="H669" i="1"/>
  <c r="K669" i="1"/>
  <c r="I690" i="1" l="1"/>
  <c r="I687" i="1" s="1"/>
  <c r="I688" i="1"/>
  <c r="H690" i="1"/>
  <c r="H687" i="1" s="1"/>
  <c r="H688" i="1"/>
  <c r="J690" i="1"/>
  <c r="J687" i="1" s="1"/>
  <c r="J688" i="1"/>
  <c r="F690" i="1"/>
  <c r="F687" i="1" s="1"/>
  <c r="F688" i="1"/>
  <c r="K690" i="1"/>
  <c r="K687" i="1" s="1"/>
  <c r="K688" i="1"/>
  <c r="K775" i="1" l="1"/>
  <c r="J775" i="1"/>
  <c r="I775" i="1"/>
  <c r="H775" i="1"/>
  <c r="G775" i="1" l="1"/>
  <c r="F775" i="1"/>
  <c r="K857" i="1" l="1"/>
  <c r="J857" i="1"/>
  <c r="I857" i="1"/>
  <c r="H857" i="1"/>
  <c r="G857" i="1"/>
  <c r="F857" i="1"/>
  <c r="G848" i="1" l="1"/>
  <c r="G878" i="1"/>
  <c r="F848" i="1"/>
  <c r="F878" i="1"/>
  <c r="I848" i="1"/>
  <c r="I878" i="1"/>
  <c r="K848" i="1"/>
  <c r="K878" i="1"/>
  <c r="H848" i="1"/>
  <c r="H878" i="1"/>
  <c r="J848" i="1"/>
  <c r="J878" i="1"/>
  <c r="J862" i="1"/>
  <c r="K862" i="1"/>
  <c r="H862" i="1"/>
  <c r="G862" i="1"/>
  <c r="F862" i="1"/>
  <c r="I862" i="1"/>
  <c r="K73" i="1" l="1"/>
  <c r="J73" i="1"/>
  <c r="I73" i="1"/>
  <c r="H73" i="1"/>
  <c r="G73" i="1"/>
  <c r="K955" i="1" l="1"/>
  <c r="J955" i="1"/>
  <c r="I955" i="1"/>
  <c r="H955" i="1"/>
  <c r="G955" i="1"/>
  <c r="F955" i="1"/>
  <c r="F874" i="1"/>
  <c r="H830" i="1"/>
  <c r="K763" i="1"/>
  <c r="K856" i="1" s="1"/>
  <c r="J763" i="1"/>
  <c r="J856" i="1" s="1"/>
  <c r="I763" i="1"/>
  <c r="I856" i="1" s="1"/>
  <c r="H763" i="1"/>
  <c r="H856" i="1" s="1"/>
  <c r="G763" i="1"/>
  <c r="G856" i="1" s="1"/>
  <c r="F763" i="1"/>
  <c r="F856" i="1" s="1"/>
  <c r="G830" i="1" l="1"/>
  <c r="F830" i="1"/>
  <c r="F850" i="1"/>
  <c r="F879" i="1"/>
  <c r="H850" i="1"/>
  <c r="H879" i="1"/>
  <c r="J850" i="1"/>
  <c r="J879" i="1"/>
  <c r="I830" i="1"/>
  <c r="K850" i="1"/>
  <c r="K879" i="1"/>
  <c r="G850" i="1"/>
  <c r="G879" i="1"/>
  <c r="I850" i="1"/>
  <c r="I879" i="1"/>
  <c r="K852" i="1"/>
  <c r="G821" i="1"/>
  <c r="I821" i="1"/>
  <c r="J821" i="1"/>
  <c r="F824" i="1"/>
  <c r="H821" i="1"/>
  <c r="K821" i="1"/>
  <c r="G824" i="1"/>
  <c r="H824" i="1"/>
  <c r="I824" i="1"/>
  <c r="J824" i="1"/>
  <c r="K824" i="1"/>
  <c r="J830" i="1"/>
  <c r="F852" i="1"/>
  <c r="K830" i="1"/>
  <c r="G852" i="1"/>
  <c r="H852" i="1"/>
  <c r="I852" i="1"/>
  <c r="F821" i="1"/>
  <c r="J852" i="1"/>
  <c r="F73" i="1"/>
  <c r="J858" i="1" l="1"/>
  <c r="J817" i="1"/>
  <c r="I858" i="1"/>
  <c r="I817" i="1"/>
  <c r="H858" i="1"/>
  <c r="H817" i="1"/>
  <c r="F858" i="1"/>
  <c r="F817" i="1"/>
  <c r="G858" i="1"/>
  <c r="G817" i="1"/>
  <c r="K858" i="1"/>
  <c r="K817" i="1"/>
  <c r="G773" i="1" l="1"/>
  <c r="G768" i="1" s="1"/>
  <c r="G860" i="1" s="1"/>
  <c r="G769" i="1" l="1"/>
  <c r="G766" i="1" s="1"/>
  <c r="G771" i="1"/>
  <c r="G767" i="1" s="1"/>
  <c r="G859" i="1" s="1"/>
  <c r="G782" i="1" l="1"/>
  <c r="G761" i="1"/>
  <c r="D4" i="4" s="1"/>
  <c r="D3" i="4" s="1"/>
  <c r="G783" i="1"/>
  <c r="G861" i="1"/>
  <c r="G779" i="1"/>
  <c r="G863" i="1" s="1"/>
  <c r="F861" i="1" l="1"/>
  <c r="I861" i="1"/>
  <c r="K861" i="1"/>
  <c r="F782" i="1"/>
  <c r="K773" i="1"/>
  <c r="K768" i="1" s="1"/>
  <c r="K860" i="1" s="1"/>
  <c r="J773" i="1"/>
  <c r="J768" i="1" s="1"/>
  <c r="J860" i="1" s="1"/>
  <c r="I773" i="1"/>
  <c r="I768" i="1" s="1"/>
  <c r="I860" i="1" s="1"/>
  <c r="H773" i="1"/>
  <c r="H768" i="1" s="1"/>
  <c r="H860" i="1" s="1"/>
  <c r="F773" i="1"/>
  <c r="F768" i="1" s="1"/>
  <c r="F860" i="1" s="1"/>
  <c r="I782" i="1" l="1"/>
  <c r="K782" i="1"/>
  <c r="H782" i="1"/>
  <c r="J782" i="1"/>
  <c r="J861" i="1"/>
  <c r="H783" i="1"/>
  <c r="H861" i="1"/>
  <c r="J779" i="1"/>
  <c r="J863" i="1" s="1"/>
  <c r="K779" i="1"/>
  <c r="K863" i="1" s="1"/>
  <c r="I783" i="1"/>
  <c r="I779" i="1"/>
  <c r="I863" i="1" s="1"/>
  <c r="F779" i="1"/>
  <c r="F863" i="1" s="1"/>
  <c r="J783" i="1"/>
  <c r="H779" i="1"/>
  <c r="H863" i="1" s="1"/>
  <c r="K783" i="1"/>
  <c r="H771" i="1"/>
  <c r="H767" i="1" s="1"/>
  <c r="H859" i="1" s="1"/>
  <c r="H769" i="1"/>
  <c r="H766" i="1" s="1"/>
  <c r="H761" i="1" s="1"/>
  <c r="E4" i="4" s="1"/>
  <c r="E3" i="4" s="1"/>
  <c r="I769" i="1"/>
  <c r="I766" i="1" s="1"/>
  <c r="I771" i="1"/>
  <c r="I767" i="1" s="1"/>
  <c r="I859" i="1" s="1"/>
  <c r="J771" i="1"/>
  <c r="J767" i="1" s="1"/>
  <c r="J859" i="1" s="1"/>
  <c r="J769" i="1"/>
  <c r="J766" i="1" s="1"/>
  <c r="F769" i="1"/>
  <c r="F766" i="1" s="1"/>
  <c r="F771" i="1"/>
  <c r="F767" i="1" s="1"/>
  <c r="F859" i="1" s="1"/>
  <c r="K771" i="1"/>
  <c r="K767" i="1" s="1"/>
  <c r="K859" i="1" s="1"/>
  <c r="K769" i="1"/>
  <c r="K766" i="1" s="1"/>
  <c r="F783" i="1"/>
  <c r="K761" i="1" l="1"/>
  <c r="H4" i="4" s="1"/>
  <c r="H3" i="4" s="1"/>
  <c r="F761" i="1"/>
  <c r="C4" i="4" s="1"/>
  <c r="C3" i="4" s="1"/>
  <c r="J761" i="1"/>
  <c r="G4" i="4" s="1"/>
  <c r="G3" i="4" s="1"/>
  <c r="I761" i="1"/>
  <c r="F4" i="4" s="1"/>
  <c r="F3" i="4" s="1"/>
  <c r="E517" i="1" l="1"/>
  <c r="E516" i="1"/>
  <c r="E512" i="1"/>
  <c r="E511" i="1"/>
  <c r="E510" i="1"/>
  <c r="E509" i="1"/>
  <c r="E508" i="1"/>
  <c r="E507" i="1"/>
  <c r="E496" i="1"/>
  <c r="E495" i="1"/>
  <c r="E494" i="1"/>
  <c r="E486" i="1"/>
  <c r="E485" i="1"/>
  <c r="E484" i="1"/>
  <c r="E483" i="1"/>
  <c r="E475" i="1"/>
  <c r="E474" i="1"/>
  <c r="E473" i="1"/>
  <c r="E489" i="1" s="1"/>
  <c r="E472" i="1"/>
  <c r="C407" i="1"/>
  <c r="F387" i="1" l="1"/>
  <c r="G387" i="1"/>
  <c r="I387" i="1"/>
  <c r="H387" i="1"/>
  <c r="J387" i="1"/>
  <c r="K387" i="1"/>
  <c r="K459" i="1"/>
  <c r="J459" i="1"/>
  <c r="I459" i="1"/>
  <c r="H459" i="1"/>
  <c r="G459" i="1"/>
  <c r="F459" i="1"/>
  <c r="K457" i="1" l="1"/>
  <c r="J457" i="1"/>
  <c r="I457" i="1"/>
  <c r="H457" i="1"/>
  <c r="G457" i="1"/>
  <c r="F457" i="1"/>
  <c r="K455" i="1" l="1"/>
  <c r="J455" i="1"/>
  <c r="I455" i="1"/>
  <c r="H455" i="1"/>
  <c r="G455" i="1"/>
  <c r="F455" i="1"/>
  <c r="K453" i="1"/>
  <c r="J453" i="1"/>
  <c r="I453" i="1"/>
  <c r="H453" i="1"/>
  <c r="G453" i="1"/>
  <c r="F453" i="1"/>
  <c r="K445" i="1"/>
  <c r="J445" i="1"/>
  <c r="I445" i="1"/>
  <c r="H445" i="1"/>
  <c r="G445" i="1"/>
  <c r="F445" i="1"/>
  <c r="F443" i="1" l="1"/>
  <c r="F440" i="1" s="1"/>
  <c r="F439" i="1" s="1"/>
  <c r="G443" i="1"/>
  <c r="G440" i="1" s="1"/>
  <c r="G439" i="1" s="1"/>
  <c r="H443" i="1"/>
  <c r="H440" i="1" s="1"/>
  <c r="H439" i="1" s="1"/>
  <c r="I443" i="1"/>
  <c r="I440" i="1" s="1"/>
  <c r="I439" i="1" s="1"/>
  <c r="J443" i="1"/>
  <c r="J440" i="1" s="1"/>
  <c r="J439" i="1" s="1"/>
  <c r="K443" i="1"/>
  <c r="K440" i="1" s="1"/>
  <c r="K439" i="1" s="1"/>
  <c r="F450" i="1"/>
  <c r="F449" i="1" s="1"/>
  <c r="F447" i="1"/>
  <c r="G450" i="1"/>
  <c r="G449" i="1" s="1"/>
  <c r="G447" i="1"/>
  <c r="H450" i="1"/>
  <c r="H449" i="1" s="1"/>
  <c r="H447" i="1"/>
  <c r="I450" i="1"/>
  <c r="I449" i="1" s="1"/>
  <c r="I447" i="1"/>
  <c r="J447" i="1"/>
  <c r="J450" i="1"/>
  <c r="J449" i="1" s="1"/>
  <c r="K447" i="1"/>
  <c r="K450" i="1"/>
  <c r="K449" i="1" s="1"/>
  <c r="I438" i="1" l="1"/>
  <c r="G438" i="1"/>
  <c r="H438" i="1"/>
  <c r="F438" i="1"/>
  <c r="K438" i="1"/>
  <c r="J438" i="1"/>
  <c r="K385" i="1" l="1"/>
  <c r="I385" i="1" l="1"/>
  <c r="J385" i="1"/>
  <c r="F385" i="1"/>
  <c r="G385" i="1"/>
  <c r="H385" i="1"/>
  <c r="G399" i="1" l="1"/>
  <c r="H399" i="1"/>
  <c r="I399" i="1"/>
  <c r="J399" i="1"/>
  <c r="K399" i="1"/>
  <c r="F399" i="1" l="1"/>
  <c r="G524" i="1" l="1"/>
  <c r="H524" i="1"/>
  <c r="I524" i="1"/>
  <c r="J524" i="1"/>
  <c r="K524" i="1"/>
  <c r="F524" i="1"/>
  <c r="K290" i="1"/>
  <c r="J290" i="1"/>
  <c r="I290" i="1"/>
  <c r="H290" i="1"/>
  <c r="G290" i="1"/>
  <c r="F290" i="1"/>
  <c r="K909" i="1"/>
  <c r="J909" i="1"/>
  <c r="I909" i="1"/>
  <c r="H909" i="1"/>
  <c r="G909" i="1"/>
  <c r="F909" i="1"/>
  <c r="E286" i="1"/>
  <c r="K908" i="1"/>
  <c r="J908" i="1"/>
  <c r="I908" i="1"/>
  <c r="H908" i="1"/>
  <c r="G908" i="1"/>
  <c r="K1044" i="1"/>
  <c r="J1044" i="1"/>
  <c r="I1044" i="1"/>
  <c r="F908" i="1"/>
  <c r="E280" i="1"/>
  <c r="E277" i="1"/>
  <c r="K274" i="1"/>
  <c r="J274" i="1"/>
  <c r="I274" i="1"/>
  <c r="H274" i="1"/>
  <c r="G274" i="1"/>
  <c r="F274" i="1"/>
  <c r="G907" i="1"/>
  <c r="H907" i="1"/>
  <c r="I907" i="1"/>
  <c r="J907" i="1"/>
  <c r="K907" i="1"/>
  <c r="F907" i="1"/>
  <c r="G906" i="1"/>
  <c r="H906" i="1"/>
  <c r="I906" i="1"/>
  <c r="J906" i="1"/>
  <c r="K906" i="1"/>
  <c r="F906" i="1"/>
  <c r="G1042" i="1"/>
  <c r="I1043" i="1"/>
  <c r="J1043" i="1"/>
  <c r="F1043" i="1"/>
  <c r="E256" i="1"/>
  <c r="E255" i="1"/>
  <c r="E254" i="1"/>
  <c r="E253" i="1"/>
  <c r="E107" i="1"/>
  <c r="E108" i="1"/>
  <c r="E109" i="1"/>
  <c r="E110" i="1"/>
  <c r="E111" i="1"/>
  <c r="K76" i="1"/>
  <c r="J76" i="1"/>
  <c r="I76" i="1"/>
  <c r="H76" i="1"/>
  <c r="G76" i="1"/>
  <c r="F76" i="1"/>
  <c r="G182" i="1"/>
  <c r="H182" i="1"/>
  <c r="I182" i="1"/>
  <c r="J182" i="1"/>
  <c r="K182" i="1"/>
  <c r="K799" i="1"/>
  <c r="J799" i="1"/>
  <c r="I799" i="1"/>
  <c r="H799" i="1"/>
  <c r="G799" i="1"/>
  <c r="F799" i="1"/>
  <c r="G292" i="1" l="1"/>
  <c r="H292" i="1"/>
  <c r="H1043" i="1"/>
  <c r="F292" i="1"/>
  <c r="G1043" i="1"/>
  <c r="K292" i="1"/>
  <c r="K1042" i="1"/>
  <c r="G905" i="1"/>
  <c r="J1042" i="1"/>
  <c r="J1041" i="1" s="1"/>
  <c r="I1042" i="1"/>
  <c r="I1041" i="1" s="1"/>
  <c r="H1042" i="1"/>
  <c r="F1044" i="1"/>
  <c r="F1042" i="1"/>
  <c r="G1044" i="1"/>
  <c r="K1043" i="1"/>
  <c r="K1041" i="1" s="1"/>
  <c r="H1044" i="1"/>
  <c r="F905" i="1"/>
  <c r="K905" i="1"/>
  <c r="J905" i="1"/>
  <c r="I905" i="1"/>
  <c r="H905" i="1"/>
  <c r="F910" i="1"/>
  <c r="F965" i="1" s="1"/>
  <c r="K910" i="1"/>
  <c r="K965" i="1" s="1"/>
  <c r="I910" i="1"/>
  <c r="I965" i="1" s="1"/>
  <c r="H910" i="1"/>
  <c r="H965" i="1" s="1"/>
  <c r="J910" i="1"/>
  <c r="J965" i="1" s="1"/>
  <c r="G910" i="1"/>
  <c r="G965" i="1" s="1"/>
  <c r="F279" i="1"/>
  <c r="F796" i="1"/>
  <c r="J279" i="1"/>
  <c r="J796" i="1"/>
  <c r="K279" i="1"/>
  <c r="K796" i="1"/>
  <c r="I279" i="1"/>
  <c r="I796" i="1"/>
  <c r="G279" i="1"/>
  <c r="G796" i="1"/>
  <c r="F797" i="1"/>
  <c r="F798" i="1"/>
  <c r="H279" i="1"/>
  <c r="H796" i="1"/>
  <c r="J797" i="1"/>
  <c r="J798" i="1"/>
  <c r="I797" i="1"/>
  <c r="I798" i="1"/>
  <c r="H797" i="1"/>
  <c r="H798" i="1"/>
  <c r="G797" i="1"/>
  <c r="G798" i="1"/>
  <c r="K797" i="1"/>
  <c r="K798" i="1"/>
  <c r="F286" i="1"/>
  <c r="J292" i="1"/>
  <c r="G286" i="1"/>
  <c r="I292" i="1"/>
  <c r="H286" i="1"/>
  <c r="H302" i="1"/>
  <c r="J286" i="1"/>
  <c r="I302" i="1"/>
  <c r="K286" i="1"/>
  <c r="I286" i="1"/>
  <c r="G410" i="1"/>
  <c r="G301" i="1"/>
  <c r="I301" i="1"/>
  <c r="H301" i="1"/>
  <c r="F301" i="1"/>
  <c r="J301" i="1"/>
  <c r="K301" i="1"/>
  <c r="G68" i="1"/>
  <c r="I68" i="1"/>
  <c r="K68" i="1"/>
  <c r="H68" i="1"/>
  <c r="J68" i="1"/>
  <c r="F68" i="1"/>
  <c r="K793" i="1"/>
  <c r="J793" i="1"/>
  <c r="I793" i="1"/>
  <c r="H793" i="1"/>
  <c r="G793" i="1"/>
  <c r="F793" i="1"/>
  <c r="H1041" i="1" l="1"/>
  <c r="G1041" i="1"/>
  <c r="F1041" i="1"/>
  <c r="F1093" i="1" s="1"/>
  <c r="K1093" i="1"/>
  <c r="K1094" i="1"/>
  <c r="K1095" i="1"/>
  <c r="I1094" i="1"/>
  <c r="I1093" i="1"/>
  <c r="I1095" i="1"/>
  <c r="J1093" i="1"/>
  <c r="J1095" i="1"/>
  <c r="J1094" i="1"/>
  <c r="I1045" i="1"/>
  <c r="I1069" i="1"/>
  <c r="I1068" i="1"/>
  <c r="I1067" i="1"/>
  <c r="J1045" i="1"/>
  <c r="J1068" i="1"/>
  <c r="J1067" i="1"/>
  <c r="J1069" i="1"/>
  <c r="K1045" i="1"/>
  <c r="K1068" i="1"/>
  <c r="K1069" i="1"/>
  <c r="K1067" i="1"/>
  <c r="F938" i="1"/>
  <c r="F961" i="1" s="1"/>
  <c r="G941" i="1"/>
  <c r="G964" i="1" s="1"/>
  <c r="F941" i="1"/>
  <c r="F964" i="1" s="1"/>
  <c r="H937" i="1"/>
  <c r="H960" i="1" s="1"/>
  <c r="K940" i="1"/>
  <c r="K963" i="1" s="1"/>
  <c r="I937" i="1"/>
  <c r="I960" i="1" s="1"/>
  <c r="J937" i="1"/>
  <c r="J960" i="1" s="1"/>
  <c r="J940" i="1"/>
  <c r="J963" i="1" s="1"/>
  <c r="I940" i="1"/>
  <c r="I963" i="1" s="1"/>
  <c r="K937" i="1"/>
  <c r="K960" i="1" s="1"/>
  <c r="K941" i="1"/>
  <c r="K964" i="1" s="1"/>
  <c r="F937" i="1"/>
  <c r="F960" i="1" s="1"/>
  <c r="G937" i="1"/>
  <c r="G960" i="1" s="1"/>
  <c r="G940" i="1"/>
  <c r="G963" i="1" s="1"/>
  <c r="I938" i="1"/>
  <c r="I961" i="1" s="1"/>
  <c r="I939" i="1"/>
  <c r="I962" i="1" s="1"/>
  <c r="G939" i="1"/>
  <c r="G962" i="1" s="1"/>
  <c r="J938" i="1"/>
  <c r="J961" i="1" s="1"/>
  <c r="F939" i="1"/>
  <c r="F962" i="1" s="1"/>
  <c r="H938" i="1"/>
  <c r="H961" i="1" s="1"/>
  <c r="H940" i="1"/>
  <c r="H963" i="1" s="1"/>
  <c r="J941" i="1"/>
  <c r="J964" i="1" s="1"/>
  <c r="H939" i="1"/>
  <c r="H962" i="1" s="1"/>
  <c r="J939" i="1"/>
  <c r="J962" i="1" s="1"/>
  <c r="F940" i="1"/>
  <c r="F963" i="1" s="1"/>
  <c r="H941" i="1"/>
  <c r="H964" i="1" s="1"/>
  <c r="K939" i="1"/>
  <c r="K962" i="1" s="1"/>
  <c r="I941" i="1"/>
  <c r="I964" i="1" s="1"/>
  <c r="K938" i="1"/>
  <c r="K961" i="1" s="1"/>
  <c r="G938" i="1"/>
  <c r="G961" i="1" s="1"/>
  <c r="H410" i="1"/>
  <c r="G280" i="1"/>
  <c r="H280" i="1"/>
  <c r="I280" i="1"/>
  <c r="F280" i="1"/>
  <c r="J280" i="1"/>
  <c r="K280" i="1"/>
  <c r="I410" i="1"/>
  <c r="G525" i="1"/>
  <c r="G302" i="1"/>
  <c r="G415" i="1"/>
  <c r="K410" i="1"/>
  <c r="K302" i="1"/>
  <c r="J410" i="1"/>
  <c r="J302" i="1"/>
  <c r="E266" i="1"/>
  <c r="E265" i="1"/>
  <c r="E264" i="1"/>
  <c r="E245" i="1"/>
  <c r="E244" i="1"/>
  <c r="E243" i="1"/>
  <c r="E259" i="1" s="1"/>
  <c r="E242" i="1"/>
  <c r="E287" i="1"/>
  <c r="E289" i="1" s="1"/>
  <c r="E282" i="1"/>
  <c r="E281" i="1"/>
  <c r="E279" i="1"/>
  <c r="E278" i="1"/>
  <c r="H1045" i="1" l="1"/>
  <c r="H1069" i="1"/>
  <c r="G1068" i="1"/>
  <c r="G1095" i="1"/>
  <c r="G1094" i="1"/>
  <c r="G1093" i="1"/>
  <c r="G1045" i="1"/>
  <c r="G1069" i="1"/>
  <c r="H1068" i="1"/>
  <c r="H1095" i="1"/>
  <c r="H1094" i="1"/>
  <c r="H1093" i="1"/>
  <c r="H1067" i="1"/>
  <c r="G1067" i="1"/>
  <c r="F1095" i="1"/>
  <c r="F1045" i="1"/>
  <c r="F1094" i="1"/>
  <c r="F1069" i="1"/>
  <c r="F1068" i="1"/>
  <c r="F1067" i="1"/>
  <c r="G413" i="1"/>
  <c r="G412" i="1" s="1"/>
  <c r="G414" i="1"/>
  <c r="H415" i="1"/>
  <c r="H525" i="1"/>
  <c r="I525" i="1"/>
  <c r="I415" i="1"/>
  <c r="K525" i="1"/>
  <c r="J525" i="1"/>
  <c r="K415" i="1"/>
  <c r="J415" i="1"/>
  <c r="E63" i="1"/>
  <c r="E65" i="1" s="1"/>
  <c r="E66" i="1" s="1"/>
  <c r="E67" i="1" s="1"/>
  <c r="E73" i="1" s="1"/>
  <c r="I46" i="1"/>
  <c r="I1732" i="1" s="1"/>
  <c r="H46" i="1"/>
  <c r="H1732" i="1" s="1"/>
  <c r="G46" i="1"/>
  <c r="G1732" i="1" s="1"/>
  <c r="F46" i="1"/>
  <c r="F1732" i="1" s="1"/>
  <c r="I45" i="1"/>
  <c r="H45" i="1"/>
  <c r="G45" i="1"/>
  <c r="F45" i="1"/>
  <c r="G1615" i="1" l="1"/>
  <c r="G1568" i="1"/>
  <c r="G1426" i="1"/>
  <c r="G1342" i="1"/>
  <c r="G1204" i="1"/>
  <c r="I1568" i="1"/>
  <c r="I1567" i="1" s="1"/>
  <c r="I1566" i="1" s="1"/>
  <c r="I1615" i="1"/>
  <c r="I1614" i="1" s="1"/>
  <c r="I1613" i="1" s="1"/>
  <c r="I1426" i="1"/>
  <c r="I1425" i="1" s="1"/>
  <c r="I1424" i="1" s="1"/>
  <c r="I1342" i="1"/>
  <c r="I1341" i="1" s="1"/>
  <c r="I1340" i="1" s="1"/>
  <c r="I1204" i="1"/>
  <c r="I1203" i="1" s="1"/>
  <c r="I1202" i="1" s="1"/>
  <c r="F1568" i="1"/>
  <c r="F1615" i="1"/>
  <c r="F1426" i="1"/>
  <c r="F1425" i="1" s="1"/>
  <c r="F1424" i="1" s="1"/>
  <c r="F1342" i="1"/>
  <c r="F1204" i="1"/>
  <c r="H1568" i="1"/>
  <c r="H1567" i="1" s="1"/>
  <c r="H1566" i="1" s="1"/>
  <c r="H1615" i="1"/>
  <c r="H1614" i="1" s="1"/>
  <c r="H1613" i="1" s="1"/>
  <c r="H1426" i="1"/>
  <c r="H1425" i="1" s="1"/>
  <c r="H1424" i="1" s="1"/>
  <c r="H1342" i="1"/>
  <c r="H1341" i="1" s="1"/>
  <c r="H1340" i="1" s="1"/>
  <c r="H1204" i="1"/>
  <c r="H1203" i="1" s="1"/>
  <c r="H1202" i="1" s="1"/>
  <c r="G1614" i="1"/>
  <c r="G1613" i="1" s="1"/>
  <c r="G1567" i="1"/>
  <c r="G1566" i="1" s="1"/>
  <c r="G1425" i="1"/>
  <c r="G1424" i="1" s="1"/>
  <c r="G1341" i="1"/>
  <c r="G1340" i="1" s="1"/>
  <c r="G1203" i="1"/>
  <c r="G1202" i="1" s="1"/>
  <c r="F1614" i="1"/>
  <c r="F1613" i="1" s="1"/>
  <c r="F1567" i="1"/>
  <c r="F1566" i="1" s="1"/>
  <c r="F1341" i="1"/>
  <c r="F1340" i="1" s="1"/>
  <c r="F1203" i="1"/>
  <c r="F1731" i="1"/>
  <c r="G1731" i="1"/>
  <c r="H1731" i="1"/>
  <c r="I1731" i="1"/>
  <c r="F44" i="1"/>
  <c r="F1730" i="1" s="1"/>
  <c r="H44" i="1"/>
  <c r="H1730" i="1" s="1"/>
  <c r="G44" i="1"/>
  <c r="G1730" i="1" s="1"/>
  <c r="I44" i="1"/>
  <c r="I1730" i="1" s="1"/>
  <c r="J413" i="1"/>
  <c r="J412" i="1" s="1"/>
  <c r="J414" i="1"/>
  <c r="K413" i="1"/>
  <c r="K412" i="1" s="1"/>
  <c r="K414" i="1"/>
  <c r="I413" i="1"/>
  <c r="I412" i="1" s="1"/>
  <c r="I414" i="1"/>
  <c r="H413" i="1"/>
  <c r="H412" i="1" s="1"/>
  <c r="H414" i="1"/>
  <c r="E129" i="1"/>
  <c r="E130" i="1" s="1"/>
  <c r="E81" i="1" s="1"/>
  <c r="E82" i="1" s="1"/>
  <c r="E83" i="1" s="1"/>
  <c r="E84" i="1" s="1"/>
  <c r="E150" i="1" s="1"/>
  <c r="E131" i="1" s="1"/>
  <c r="E132" i="1" s="1"/>
  <c r="E74" i="1" s="1"/>
  <c r="E85" i="1" s="1"/>
  <c r="E168" i="1" s="1"/>
  <c r="E76" i="1"/>
  <c r="E72" i="1"/>
  <c r="E64" i="1"/>
  <c r="K45" i="1"/>
  <c r="J45" i="1"/>
  <c r="J1731" i="1" l="1"/>
  <c r="K1731" i="1"/>
  <c r="K44" i="1"/>
  <c r="K1730" i="1" s="1"/>
  <c r="J44" i="1"/>
  <c r="J1730" i="1" s="1"/>
  <c r="E151" i="1"/>
  <c r="E165" i="1" s="1"/>
  <c r="E181" i="1" s="1"/>
  <c r="E106" i="1" s="1"/>
  <c r="E209" i="1"/>
  <c r="E80" i="1"/>
  <c r="E180" i="1"/>
  <c r="E77" i="1"/>
  <c r="K47" i="1"/>
  <c r="J47" i="1"/>
  <c r="J1204" i="1" l="1"/>
  <c r="J1615" i="1"/>
  <c r="J1426" i="1"/>
  <c r="J1342" i="1"/>
  <c r="K1427" i="1"/>
  <c r="K1343" i="1"/>
  <c r="K1569" i="1"/>
  <c r="K1205" i="1"/>
  <c r="K1616" i="1"/>
  <c r="K1204" i="1"/>
  <c r="K1342" i="1"/>
  <c r="K1426" i="1"/>
  <c r="K1615" i="1"/>
  <c r="K1568" i="1"/>
  <c r="J1616" i="1"/>
  <c r="J1427" i="1"/>
  <c r="J1343" i="1"/>
  <c r="J1205" i="1"/>
  <c r="J1569" i="1"/>
  <c r="J1568" i="1"/>
  <c r="J1567" i="1" s="1"/>
  <c r="J1566" i="1" s="1"/>
  <c r="K1733" i="1"/>
  <c r="J1733" i="1"/>
  <c r="J46" i="1"/>
  <c r="J1732" i="1" s="1"/>
  <c r="K46" i="1"/>
  <c r="K1732" i="1" s="1"/>
  <c r="E208" i="1"/>
  <c r="E267" i="1" s="1"/>
  <c r="E158" i="1"/>
  <c r="E160" i="1" s="1"/>
  <c r="E276" i="1"/>
  <c r="E275" i="1"/>
  <c r="E105" i="1"/>
  <c r="K1567" i="1" l="1"/>
  <c r="K1566" i="1" s="1"/>
  <c r="K1614" i="1"/>
  <c r="K1613" i="1" s="1"/>
  <c r="J1614" i="1"/>
  <c r="J1613" i="1" s="1"/>
  <c r="K1425" i="1"/>
  <c r="K1424" i="1" s="1"/>
  <c r="J1425" i="1"/>
  <c r="J1424" i="1" s="1"/>
  <c r="J1203" i="1"/>
  <c r="J1341" i="1"/>
  <c r="J1340" i="1" s="1"/>
  <c r="K1341" i="1"/>
  <c r="K1340" i="1" s="1"/>
  <c r="K1203" i="1"/>
  <c r="E172" i="1"/>
  <c r="E161" i="1"/>
  <c r="E174" i="1"/>
  <c r="E249" i="1" l="1"/>
  <c r="E221" i="1"/>
  <c r="E97" i="1"/>
  <c r="E239" i="1"/>
  <c r="E285" i="1" s="1"/>
  <c r="E218" i="1"/>
  <c r="E220" i="1"/>
  <c r="E223" i="1"/>
  <c r="E250" i="1"/>
  <c r="E227" i="1"/>
  <c r="E229" i="1"/>
  <c r="E99" i="1"/>
  <c r="E252" i="1"/>
  <c r="E226" i="1"/>
  <c r="E246" i="1" s="1"/>
  <c r="E241" i="1"/>
  <c r="E162" i="1"/>
  <c r="E175" i="1"/>
  <c r="E257" i="1" l="1"/>
  <c r="E288" i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258" i="1"/>
  <c r="E261" i="1"/>
  <c r="E100" i="1"/>
  <c r="E230" i="1"/>
  <c r="E248" i="1" s="1"/>
  <c r="E228" i="1"/>
  <c r="E247" i="1" s="1"/>
  <c r="E163" i="1"/>
  <c r="E176" i="1"/>
  <c r="E394" i="1" l="1"/>
  <c r="E395" i="1" s="1"/>
  <c r="E438" i="1"/>
  <c r="E497" i="1" s="1"/>
  <c r="E409" i="1"/>
  <c r="E506" i="1" s="1"/>
  <c r="E262" i="1"/>
  <c r="E101" i="1"/>
  <c r="E164" i="1"/>
  <c r="E177" i="1"/>
  <c r="E271" i="1" s="1"/>
  <c r="E396" i="1" l="1"/>
  <c r="E441" i="1" s="1"/>
  <c r="E407" i="1"/>
  <c r="E263" i="1"/>
  <c r="E102" i="1"/>
  <c r="E86" i="1"/>
  <c r="E87" i="1" s="1"/>
  <c r="E75" i="1" s="1"/>
  <c r="E152" i="1" s="1"/>
  <c r="E178" i="1"/>
  <c r="E167" i="1"/>
  <c r="E179" i="1" s="1"/>
  <c r="E274" i="1" s="1"/>
  <c r="E504" i="1" l="1"/>
  <c r="E503" i="1"/>
  <c r="E397" i="1"/>
  <c r="E439" i="1"/>
  <c r="E408" i="1"/>
  <c r="E505" i="1" s="1"/>
  <c r="E153" i="1"/>
  <c r="E133" i="1" s="1"/>
  <c r="E134" i="1" s="1"/>
  <c r="E169" i="1" s="1"/>
  <c r="E166" i="1"/>
  <c r="E273" i="1"/>
  <c r="E104" i="1"/>
  <c r="E272" i="1"/>
  <c r="E103" i="1"/>
  <c r="E443" i="1" l="1"/>
  <c r="E464" i="1"/>
  <c r="E232" i="1"/>
  <c r="E234" i="1"/>
  <c r="E135" i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398" i="1"/>
  <c r="E466" i="1" s="1"/>
  <c r="E442" i="1"/>
  <c r="E440" i="1"/>
  <c r="E513" i="1" s="1"/>
  <c r="E462" i="1"/>
  <c r="E461" i="1"/>
  <c r="E498" i="1" s="1"/>
  <c r="E210" i="1"/>
  <c r="E283" i="1" s="1"/>
  <c r="E212" i="1"/>
  <c r="E88" i="1"/>
  <c r="E89" i="1" s="1"/>
  <c r="E90" i="1" s="1"/>
  <c r="E231" i="1"/>
  <c r="E268" i="1" s="1"/>
  <c r="E159" i="1"/>
  <c r="E173" i="1" s="1"/>
  <c r="E260" i="1" s="1"/>
  <c r="E78" i="1" l="1"/>
  <c r="E399" i="1"/>
  <c r="E449" i="1" s="1"/>
  <c r="E465" i="1"/>
  <c r="E463" i="1"/>
  <c r="E499" i="1" s="1"/>
  <c r="E444" i="1"/>
  <c r="E514" i="1" s="1"/>
  <c r="E445" i="1"/>
  <c r="E251" i="1"/>
  <c r="E225" i="1"/>
  <c r="E240" i="1"/>
  <c r="E98" i="1"/>
  <c r="E224" i="1"/>
  <c r="E222" i="1"/>
  <c r="E154" i="1"/>
  <c r="E91" i="1" s="1"/>
  <c r="E92" i="1" s="1"/>
  <c r="E155" i="1" s="1"/>
  <c r="E93" i="1" s="1"/>
  <c r="E94" i="1" s="1"/>
  <c r="E156" i="1" s="1"/>
  <c r="E170" i="1" s="1"/>
  <c r="E79" i="1"/>
  <c r="E71" i="1" s="1"/>
  <c r="E213" i="1" l="1"/>
  <c r="E236" i="1"/>
  <c r="E215" i="1"/>
  <c r="E211" i="1"/>
  <c r="E400" i="1"/>
  <c r="E451" i="1" s="1"/>
  <c r="E467" i="1"/>
  <c r="E500" i="1" s="1"/>
  <c r="E447" i="1"/>
  <c r="E468" i="1"/>
  <c r="E446" i="1"/>
  <c r="E233" i="1"/>
  <c r="E269" i="1" s="1"/>
  <c r="E235" i="1"/>
  <c r="E95" i="1"/>
  <c r="E157" i="1" s="1"/>
  <c r="E171" i="1" s="1"/>
  <c r="E214" i="1"/>
  <c r="E284" i="1" s="1"/>
  <c r="E238" i="1" l="1"/>
  <c r="E219" i="1"/>
  <c r="E401" i="1"/>
  <c r="E448" i="1"/>
  <c r="E480" i="1"/>
  <c r="E479" i="1"/>
  <c r="E453" i="1"/>
  <c r="E450" i="1"/>
  <c r="E469" i="1"/>
  <c r="E96" i="1"/>
  <c r="E217" i="1"/>
  <c r="E112" i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216" i="1"/>
  <c r="E237" i="1"/>
  <c r="E270" i="1" s="1"/>
  <c r="E487" i="1" l="1"/>
  <c r="E515" i="1"/>
  <c r="E402" i="1"/>
  <c r="E490" i="1"/>
  <c r="E481" i="1"/>
  <c r="E455" i="1"/>
  <c r="E454" i="1"/>
  <c r="E452" i="1"/>
  <c r="E470" i="1"/>
  <c r="E125" i="1"/>
  <c r="E126" i="1" s="1"/>
  <c r="E127" i="1" s="1"/>
  <c r="E128" i="1" s="1"/>
  <c r="E70" i="1"/>
  <c r="E56" i="1"/>
  <c r="E57" i="1" s="1"/>
  <c r="E58" i="1" s="1"/>
  <c r="E59" i="1" s="1"/>
  <c r="F34" i="1"/>
  <c r="I35" i="1"/>
  <c r="I1721" i="1" s="1"/>
  <c r="H35" i="1"/>
  <c r="H1721" i="1" s="1"/>
  <c r="G35" i="1"/>
  <c r="G1721" i="1" s="1"/>
  <c r="F35" i="1"/>
  <c r="F1721" i="1" s="1"/>
  <c r="I34" i="1"/>
  <c r="H34" i="1"/>
  <c r="G34" i="1"/>
  <c r="I33" i="1"/>
  <c r="H33" i="1"/>
  <c r="G33" i="1"/>
  <c r="F33" i="1"/>
  <c r="K1202" i="1"/>
  <c r="J120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2" i="1" s="1"/>
  <c r="H1650" i="1" l="1"/>
  <c r="H1600" i="1"/>
  <c r="H1553" i="1"/>
  <c r="H1509" i="1"/>
  <c r="H1158" i="1"/>
  <c r="F1650" i="1"/>
  <c r="F1649" i="1" s="1"/>
  <c r="F1600" i="1"/>
  <c r="F1599" i="1" s="1"/>
  <c r="F1598" i="1" s="1"/>
  <c r="F1553" i="1"/>
  <c r="F1552" i="1" s="1"/>
  <c r="F1551" i="1" s="1"/>
  <c r="F1509" i="1"/>
  <c r="F1508" i="1" s="1"/>
  <c r="F1507" i="1" s="1"/>
  <c r="F1158" i="1"/>
  <c r="F1157" i="1" s="1"/>
  <c r="F1156" i="1" s="1"/>
  <c r="G1650" i="1"/>
  <c r="G1649" i="1" s="1"/>
  <c r="G1600" i="1"/>
  <c r="G1599" i="1" s="1"/>
  <c r="G1598" i="1" s="1"/>
  <c r="G1553" i="1"/>
  <c r="G1552" i="1" s="1"/>
  <c r="G1551" i="1" s="1"/>
  <c r="G1509" i="1"/>
  <c r="G1508" i="1" s="1"/>
  <c r="G1507" i="1" s="1"/>
  <c r="G1158" i="1"/>
  <c r="G1157" i="1" s="1"/>
  <c r="G1156" i="1" s="1"/>
  <c r="H1656" i="1"/>
  <c r="H1607" i="1"/>
  <c r="H1606" i="1" s="1"/>
  <c r="H1605" i="1" s="1"/>
  <c r="H1560" i="1"/>
  <c r="H1559" i="1" s="1"/>
  <c r="H1558" i="1" s="1"/>
  <c r="H1412" i="1"/>
  <c r="H1411" i="1" s="1"/>
  <c r="H1410" i="1" s="1"/>
  <c r="H1328" i="1"/>
  <c r="H1327" i="1" s="1"/>
  <c r="H1326" i="1" s="1"/>
  <c r="H1181" i="1"/>
  <c r="H1180" i="1" s="1"/>
  <c r="H1179" i="1" s="1"/>
  <c r="I1650" i="1"/>
  <c r="I1649" i="1" s="1"/>
  <c r="I1600" i="1"/>
  <c r="I1553" i="1"/>
  <c r="I1509" i="1"/>
  <c r="I1508" i="1" s="1"/>
  <c r="I1507" i="1" s="1"/>
  <c r="I1158" i="1"/>
  <c r="I1157" i="1" s="1"/>
  <c r="I1156" i="1" s="1"/>
  <c r="F1656" i="1"/>
  <c r="F1560" i="1"/>
  <c r="F1559" i="1" s="1"/>
  <c r="F1558" i="1" s="1"/>
  <c r="F1607" i="1"/>
  <c r="F1606" i="1" s="1"/>
  <c r="F1605" i="1" s="1"/>
  <c r="F1412" i="1"/>
  <c r="F1411" i="1" s="1"/>
  <c r="F1410" i="1" s="1"/>
  <c r="F1328" i="1"/>
  <c r="F1327" i="1" s="1"/>
  <c r="F1326" i="1" s="1"/>
  <c r="F1181" i="1"/>
  <c r="F1180" i="1" s="1"/>
  <c r="F1179" i="1" s="1"/>
  <c r="G1656" i="1"/>
  <c r="G1607" i="1"/>
  <c r="G1606" i="1" s="1"/>
  <c r="G1605" i="1" s="1"/>
  <c r="G1560" i="1"/>
  <c r="G1559" i="1" s="1"/>
  <c r="G1558" i="1" s="1"/>
  <c r="G1412" i="1"/>
  <c r="G1411" i="1" s="1"/>
  <c r="G1410" i="1" s="1"/>
  <c r="G1328" i="1"/>
  <c r="G1327" i="1" s="1"/>
  <c r="G1326" i="1" s="1"/>
  <c r="G1181" i="1"/>
  <c r="G1180" i="1" s="1"/>
  <c r="G1179" i="1" s="1"/>
  <c r="I1656" i="1"/>
  <c r="I1607" i="1"/>
  <c r="I1606" i="1" s="1"/>
  <c r="I1605" i="1" s="1"/>
  <c r="I1560" i="1"/>
  <c r="I1559" i="1" s="1"/>
  <c r="I1558" i="1" s="1"/>
  <c r="I1412" i="1"/>
  <c r="I1411" i="1" s="1"/>
  <c r="I1410" i="1" s="1"/>
  <c r="I1328" i="1"/>
  <c r="I1327" i="1" s="1"/>
  <c r="I1326" i="1" s="1"/>
  <c r="I1181" i="1"/>
  <c r="I1180" i="1" s="1"/>
  <c r="I1179" i="1" s="1"/>
  <c r="I1552" i="1"/>
  <c r="I1551" i="1" s="1"/>
  <c r="I1599" i="1"/>
  <c r="I1598" i="1" s="1"/>
  <c r="H1649" i="1"/>
  <c r="H1157" i="1"/>
  <c r="H1156" i="1" s="1"/>
  <c r="H1552" i="1"/>
  <c r="H1551" i="1" s="1"/>
  <c r="H1599" i="1"/>
  <c r="H1598" i="1" s="1"/>
  <c r="H1508" i="1"/>
  <c r="H1507" i="1" s="1"/>
  <c r="H1720" i="1"/>
  <c r="I1720" i="1"/>
  <c r="F1720" i="1"/>
  <c r="H1719" i="1"/>
  <c r="G1720" i="1"/>
  <c r="F1719" i="1"/>
  <c r="G1719" i="1"/>
  <c r="I1719" i="1"/>
  <c r="E403" i="1"/>
  <c r="E459" i="1"/>
  <c r="E482" i="1"/>
  <c r="E457" i="1"/>
  <c r="E456" i="1"/>
  <c r="E476" i="1" s="1"/>
  <c r="E471" i="1"/>
  <c r="E60" i="1"/>
  <c r="E62" i="1" s="1"/>
  <c r="E69" i="1"/>
  <c r="E68" i="1"/>
  <c r="K40" i="1"/>
  <c r="C24" i="1"/>
  <c r="C25" i="1" s="1"/>
  <c r="C26" i="1" s="1"/>
  <c r="C27" i="1" s="1"/>
  <c r="C41" i="1" s="1"/>
  <c r="C42" i="1" s="1"/>
  <c r="C48" i="1" s="1"/>
  <c r="C29" i="1" s="1"/>
  <c r="C23" i="1"/>
  <c r="A24" i="1"/>
  <c r="A25" i="1" s="1"/>
  <c r="A26" i="1" s="1"/>
  <c r="A27" i="1" s="1"/>
  <c r="A28" i="1" s="1"/>
  <c r="A39" i="1" s="1"/>
  <c r="A23" i="1"/>
  <c r="G40" i="1"/>
  <c r="F40" i="1"/>
  <c r="K23" i="1"/>
  <c r="K1709" i="1" s="1"/>
  <c r="F23" i="1"/>
  <c r="F1709" i="1" s="1"/>
  <c r="G23" i="1"/>
  <c r="G1709" i="1" s="1"/>
  <c r="H40" i="1"/>
  <c r="J40" i="1"/>
  <c r="I40" i="1"/>
  <c r="H23" i="1"/>
  <c r="H1709" i="1" s="1"/>
  <c r="I23" i="1"/>
  <c r="I1709" i="1" s="1"/>
  <c r="J23" i="1"/>
  <c r="J1709" i="1" s="1"/>
  <c r="J8" i="1"/>
  <c r="J1742" i="1" s="1"/>
  <c r="H8" i="1"/>
  <c r="H1742" i="1" s="1"/>
  <c r="G8" i="1"/>
  <c r="G1742" i="1" s="1"/>
  <c r="G49" i="1"/>
  <c r="H49" i="1"/>
  <c r="J49" i="1"/>
  <c r="G32" i="1"/>
  <c r="G1718" i="1" s="1"/>
  <c r="K49" i="1"/>
  <c r="K56" i="1"/>
  <c r="F56" i="1"/>
  <c r="J56" i="1"/>
  <c r="I56" i="1"/>
  <c r="H56" i="1"/>
  <c r="G56" i="1"/>
  <c r="F49" i="1"/>
  <c r="I49" i="1"/>
  <c r="I32" i="1"/>
  <c r="I1718" i="1" s="1"/>
  <c r="H32" i="1"/>
  <c r="H1718" i="1" s="1"/>
  <c r="F32" i="1"/>
  <c r="F1718" i="1" s="1"/>
  <c r="J34" i="1"/>
  <c r="J33" i="1"/>
  <c r="K33" i="1"/>
  <c r="K34" i="1"/>
  <c r="I29" i="1"/>
  <c r="I1715" i="1" s="1"/>
  <c r="K29" i="1"/>
  <c r="K1715" i="1" s="1"/>
  <c r="H29" i="1"/>
  <c r="H1715" i="1" s="1"/>
  <c r="G29" i="1"/>
  <c r="G1715" i="1" s="1"/>
  <c r="J29" i="1"/>
  <c r="J1715" i="1" s="1"/>
  <c r="F29" i="1"/>
  <c r="F1715" i="1" s="1"/>
  <c r="F8" i="1"/>
  <c r="F1742" i="1" s="1"/>
  <c r="K8" i="1"/>
  <c r="K1742" i="1" s="1"/>
  <c r="H3" i="1"/>
  <c r="H1737" i="1" s="1"/>
  <c r="I3" i="1"/>
  <c r="I1737" i="1" s="1"/>
  <c r="J3" i="1"/>
  <c r="J1737" i="1" s="1"/>
  <c r="K3" i="1"/>
  <c r="K1737" i="1" s="1"/>
  <c r="F3" i="1"/>
  <c r="F1737" i="1" s="1"/>
  <c r="G3" i="1"/>
  <c r="G1737" i="1" s="1"/>
  <c r="J39" i="1" l="1"/>
  <c r="J1725" i="1" s="1"/>
  <c r="J1726" i="1"/>
  <c r="I55" i="1"/>
  <c r="F16" i="4" s="1"/>
  <c r="I1735" i="1"/>
  <c r="G55" i="1"/>
  <c r="D16" i="4" s="1"/>
  <c r="G1735" i="1"/>
  <c r="J55" i="1"/>
  <c r="G16" i="4" s="1"/>
  <c r="J1735" i="1"/>
  <c r="J1720" i="1"/>
  <c r="H39" i="1"/>
  <c r="H1725" i="1" s="1"/>
  <c r="H1726" i="1"/>
  <c r="F39" i="1"/>
  <c r="F1725" i="1" s="1"/>
  <c r="F1726" i="1"/>
  <c r="K55" i="1"/>
  <c r="H16" i="4" s="1"/>
  <c r="K1735" i="1"/>
  <c r="H55" i="1"/>
  <c r="E16" i="4" s="1"/>
  <c r="H1735" i="1"/>
  <c r="F55" i="1"/>
  <c r="C16" i="4" s="1"/>
  <c r="F1735" i="1"/>
  <c r="J1719" i="1"/>
  <c r="I39" i="1"/>
  <c r="I1725" i="1" s="1"/>
  <c r="I1726" i="1"/>
  <c r="G39" i="1"/>
  <c r="G1725" i="1" s="1"/>
  <c r="G1726" i="1"/>
  <c r="K1720" i="1"/>
  <c r="K39" i="1"/>
  <c r="K1725" i="1" s="1"/>
  <c r="K1726" i="1"/>
  <c r="K1719" i="1"/>
  <c r="G1655" i="1"/>
  <c r="H1648" i="1"/>
  <c r="I1648" i="1"/>
  <c r="G1648" i="1"/>
  <c r="F1655" i="1"/>
  <c r="I1655" i="1"/>
  <c r="H1655" i="1"/>
  <c r="F1648" i="1"/>
  <c r="J37" i="1"/>
  <c r="K37" i="1"/>
  <c r="E518" i="1"/>
  <c r="E488" i="1"/>
  <c r="E404" i="1"/>
  <c r="E491" i="1"/>
  <c r="E460" i="1"/>
  <c r="E478" i="1" s="1"/>
  <c r="E458" i="1"/>
  <c r="E477" i="1" s="1"/>
  <c r="A41" i="1"/>
  <c r="A42" i="1" s="1"/>
  <c r="A48" i="1" s="1"/>
  <c r="A29" i="1" s="1"/>
  <c r="A32" i="1" s="1"/>
  <c r="A35" i="1" s="1"/>
  <c r="A30" i="1" s="1"/>
  <c r="A31" i="1" s="1"/>
  <c r="A33" i="1" s="1"/>
  <c r="A34" i="1" s="1"/>
  <c r="A36" i="1" s="1"/>
  <c r="A37" i="1" s="1"/>
  <c r="A49" i="1" s="1"/>
  <c r="A50" i="1" s="1"/>
  <c r="A51" i="1" s="1"/>
  <c r="A52" i="1" s="1"/>
  <c r="A53" i="1" s="1"/>
  <c r="A55" i="1" s="1"/>
  <c r="A56" i="1" s="1"/>
  <c r="A57" i="1" s="1"/>
  <c r="A58" i="1" s="1"/>
  <c r="A59" i="1" s="1"/>
  <c r="C28" i="1"/>
  <c r="C39" i="1" s="1"/>
  <c r="G22" i="1"/>
  <c r="K22" i="1"/>
  <c r="F22" i="1"/>
  <c r="C32" i="1"/>
  <c r="C35" i="1" s="1"/>
  <c r="C30" i="1" s="1"/>
  <c r="C31" i="1" s="1"/>
  <c r="C33" i="1" s="1"/>
  <c r="C34" i="1" s="1"/>
  <c r="C36" i="1" s="1"/>
  <c r="C37" i="1" s="1"/>
  <c r="C40" i="1"/>
  <c r="J22" i="1"/>
  <c r="I22" i="1"/>
  <c r="H22" i="1"/>
  <c r="J32" i="1"/>
  <c r="J1718" i="1" s="1"/>
  <c r="K32" i="1"/>
  <c r="K1718" i="1" s="1"/>
  <c r="J36" i="1"/>
  <c r="K36" i="1"/>
  <c r="K1607" i="1" l="1"/>
  <c r="K1656" i="1"/>
  <c r="K1560" i="1"/>
  <c r="K1412" i="1"/>
  <c r="J1607" i="1"/>
  <c r="J1328" i="1"/>
  <c r="J1181" i="1"/>
  <c r="J1412" i="1"/>
  <c r="K1601" i="1"/>
  <c r="K1651" i="1"/>
  <c r="K1554" i="1"/>
  <c r="K1159" i="1"/>
  <c r="K1510" i="1"/>
  <c r="J1554" i="1"/>
  <c r="J1601" i="1"/>
  <c r="J1651" i="1"/>
  <c r="J1510" i="1"/>
  <c r="J1159" i="1"/>
  <c r="K1509" i="1"/>
  <c r="K1650" i="1"/>
  <c r="J1650" i="1"/>
  <c r="K1553" i="1"/>
  <c r="K1552" i="1" s="1"/>
  <c r="K1551" i="1" s="1"/>
  <c r="J1553" i="1"/>
  <c r="J1509" i="1"/>
  <c r="J1600" i="1"/>
  <c r="K1158" i="1"/>
  <c r="J1158" i="1"/>
  <c r="J1157" i="1" s="1"/>
  <c r="J1156" i="1" s="1"/>
  <c r="K1182" i="1"/>
  <c r="K1561" i="1"/>
  <c r="K1329" i="1"/>
  <c r="K1413" i="1"/>
  <c r="K1608" i="1"/>
  <c r="K1657" i="1"/>
  <c r="J1329" i="1"/>
  <c r="J1182" i="1"/>
  <c r="J1561" i="1"/>
  <c r="J1608" i="1"/>
  <c r="J1413" i="1"/>
  <c r="J1657" i="1"/>
  <c r="K1181" i="1"/>
  <c r="J1560" i="1"/>
  <c r="K1600" i="1"/>
  <c r="K1328" i="1"/>
  <c r="J1656" i="1"/>
  <c r="K1723" i="1"/>
  <c r="H20" i="1"/>
  <c r="E15" i="4" s="1"/>
  <c r="H1708" i="1"/>
  <c r="I20" i="1"/>
  <c r="F15" i="4" s="1"/>
  <c r="I1708" i="1"/>
  <c r="J20" i="1"/>
  <c r="G15" i="4" s="1"/>
  <c r="J1708" i="1"/>
  <c r="F20" i="1"/>
  <c r="C15" i="4" s="1"/>
  <c r="F1708" i="1"/>
  <c r="K20" i="1"/>
  <c r="H15" i="4" s="1"/>
  <c r="K1708" i="1"/>
  <c r="J1723" i="1"/>
  <c r="G20" i="1"/>
  <c r="D15" i="4" s="1"/>
  <c r="G1708" i="1"/>
  <c r="J1722" i="1"/>
  <c r="K1722" i="1"/>
  <c r="I1654" i="1"/>
  <c r="F1654" i="1"/>
  <c r="G1654" i="1"/>
  <c r="H1654" i="1"/>
  <c r="K35" i="1"/>
  <c r="K1721" i="1" s="1"/>
  <c r="J35" i="1"/>
  <c r="J1721" i="1" s="1"/>
  <c r="C49" i="1"/>
  <c r="C50" i="1" s="1"/>
  <c r="C51" i="1" s="1"/>
  <c r="C52" i="1" s="1"/>
  <c r="C53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72" i="1" s="1"/>
  <c r="C73" i="1" s="1"/>
  <c r="C74" i="1" s="1"/>
  <c r="C76" i="1" s="1"/>
  <c r="C38" i="1"/>
  <c r="E405" i="1"/>
  <c r="E492" i="1"/>
  <c r="A40" i="1"/>
  <c r="A60" i="1"/>
  <c r="A61" i="1" s="1"/>
  <c r="A62" i="1" s="1"/>
  <c r="A63" i="1" s="1"/>
  <c r="A64" i="1" s="1"/>
  <c r="A65" i="1" s="1"/>
  <c r="A66" i="1" s="1"/>
  <c r="A67" i="1" s="1"/>
  <c r="A72" i="1" s="1"/>
  <c r="A73" i="1" s="1"/>
  <c r="A74" i="1" s="1"/>
  <c r="A76" i="1" s="1"/>
  <c r="A68" i="1"/>
  <c r="A69" i="1" s="1"/>
  <c r="A70" i="1" s="1"/>
  <c r="A71" i="1" s="1"/>
  <c r="C43" i="1"/>
  <c r="C44" i="1" s="1"/>
  <c r="C45" i="1" s="1"/>
  <c r="C47" i="1" s="1"/>
  <c r="A54" i="1"/>
  <c r="A43" i="1"/>
  <c r="J1599" i="1" l="1"/>
  <c r="J1598" i="1" s="1"/>
  <c r="K1649" i="1"/>
  <c r="K1599" i="1"/>
  <c r="K1598" i="1" s="1"/>
  <c r="K1606" i="1"/>
  <c r="K1605" i="1" s="1"/>
  <c r="K1655" i="1"/>
  <c r="J1655" i="1"/>
  <c r="J1606" i="1"/>
  <c r="J1605" i="1" s="1"/>
  <c r="J1649" i="1"/>
  <c r="K1648" i="1"/>
  <c r="K1157" i="1"/>
  <c r="K1156" i="1" s="1"/>
  <c r="J1552" i="1"/>
  <c r="J1551" i="1" s="1"/>
  <c r="K1327" i="1"/>
  <c r="K1326" i="1" s="1"/>
  <c r="J1411" i="1"/>
  <c r="J1410" i="1" s="1"/>
  <c r="K1411" i="1"/>
  <c r="K1410" i="1" s="1"/>
  <c r="K1559" i="1"/>
  <c r="K1558" i="1" s="1"/>
  <c r="J1508" i="1"/>
  <c r="J1507" i="1" s="1"/>
  <c r="J1559" i="1"/>
  <c r="J1558" i="1" s="1"/>
  <c r="K1508" i="1"/>
  <c r="K1507" i="1" s="1"/>
  <c r="J1180" i="1"/>
  <c r="J1179" i="1" s="1"/>
  <c r="J1327" i="1"/>
  <c r="J1326" i="1" s="1"/>
  <c r="K1180" i="1"/>
  <c r="K1179" i="1" s="1"/>
  <c r="C54" i="1"/>
  <c r="C68" i="1"/>
  <c r="C69" i="1" s="1"/>
  <c r="C70" i="1" s="1"/>
  <c r="C71" i="1" s="1"/>
  <c r="E406" i="1"/>
  <c r="E502" i="1" s="1"/>
  <c r="E501" i="1"/>
  <c r="E493" i="1"/>
  <c r="C46" i="1"/>
  <c r="C75" i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A75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44" i="1"/>
  <c r="A46" i="1" s="1"/>
  <c r="J1648" i="1" l="1"/>
  <c r="J1654" i="1"/>
  <c r="K1654" i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7" i="1" s="1"/>
  <c r="A168" i="1" s="1"/>
  <c r="A165" i="1" s="1"/>
  <c r="A96" i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C112" i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7" i="1" s="1"/>
  <c r="C168" i="1" s="1"/>
  <c r="C165" i="1" s="1"/>
  <c r="C96" i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A45" i="1"/>
  <c r="A47" i="1" s="1"/>
  <c r="C169" i="1" l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66" i="1"/>
  <c r="A169" i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66" i="1"/>
  <c r="G550" i="1" l="1"/>
  <c r="F551" i="1"/>
  <c r="H550" i="1"/>
  <c r="K550" i="1"/>
  <c r="J551" i="1"/>
  <c r="F550" i="1"/>
  <c r="I550" i="1"/>
  <c r="J550" i="1"/>
  <c r="G551" i="1"/>
  <c r="H551" i="1"/>
  <c r="I551" i="1"/>
  <c r="K551" i="1"/>
  <c r="K204" i="1"/>
  <c r="J204" i="1"/>
  <c r="I204" i="1"/>
  <c r="H204" i="1"/>
  <c r="G204" i="1"/>
  <c r="F204" i="1"/>
  <c r="F229" i="1" l="1"/>
  <c r="F579" i="1"/>
  <c r="G229" i="1"/>
  <c r="G579" i="1"/>
  <c r="H229" i="1"/>
  <c r="H579" i="1"/>
  <c r="I229" i="1"/>
  <c r="I579" i="1"/>
  <c r="J229" i="1"/>
  <c r="J579" i="1"/>
  <c r="K229" i="1"/>
  <c r="K579" i="1"/>
  <c r="I227" i="1" l="1"/>
  <c r="I578" i="1"/>
  <c r="F227" i="1"/>
  <c r="F578" i="1"/>
  <c r="J227" i="1"/>
  <c r="J578" i="1"/>
  <c r="G227" i="1"/>
  <c r="G578" i="1"/>
  <c r="H227" i="1"/>
  <c r="H578" i="1"/>
  <c r="K227" i="1"/>
  <c r="K578" i="1"/>
  <c r="K794" i="1" l="1"/>
  <c r="J794" i="1"/>
  <c r="I794" i="1"/>
  <c r="H794" i="1"/>
  <c r="G794" i="1"/>
  <c r="F794" i="1"/>
  <c r="K206" i="1" l="1"/>
  <c r="J206" i="1"/>
  <c r="I206" i="1"/>
  <c r="H206" i="1"/>
  <c r="G206" i="1"/>
  <c r="F206" i="1"/>
  <c r="H436" i="1" l="1"/>
  <c r="F436" i="1"/>
  <c r="G436" i="1"/>
  <c r="I436" i="1"/>
  <c r="J531" i="1"/>
  <c r="K531" i="1"/>
  <c r="J436" i="1"/>
  <c r="K436" i="1"/>
  <c r="G223" i="1" l="1"/>
  <c r="G576" i="1"/>
  <c r="H223" i="1"/>
  <c r="H576" i="1"/>
  <c r="K223" i="1"/>
  <c r="K576" i="1"/>
  <c r="F223" i="1"/>
  <c r="F576" i="1"/>
  <c r="J223" i="1"/>
  <c r="J576" i="1"/>
  <c r="I223" i="1"/>
  <c r="I576" i="1"/>
  <c r="F562" i="1"/>
  <c r="J562" i="1"/>
  <c r="K562" i="1"/>
  <c r="G562" i="1"/>
  <c r="H562" i="1"/>
  <c r="I562" i="1"/>
  <c r="G531" i="1"/>
  <c r="I531" i="1"/>
  <c r="F531" i="1"/>
  <c r="H531" i="1"/>
  <c r="K792" i="1"/>
  <c r="J792" i="1"/>
  <c r="I792" i="1"/>
  <c r="H792" i="1"/>
  <c r="G792" i="1"/>
  <c r="G238" i="1" l="1"/>
  <c r="H238" i="1"/>
  <c r="I238" i="1"/>
  <c r="J238" i="1"/>
  <c r="K238" i="1"/>
  <c r="G195" i="1" l="1"/>
  <c r="K195" i="1"/>
  <c r="H195" i="1"/>
  <c r="I195" i="1"/>
  <c r="J195" i="1"/>
  <c r="F195" i="1"/>
  <c r="F194" i="1"/>
  <c r="F191" i="1" s="1"/>
  <c r="F101" i="1"/>
  <c r="F329" i="1" s="1"/>
  <c r="F345" i="1" s="1"/>
  <c r="F424" i="1" s="1"/>
  <c r="F421" i="1" s="1"/>
  <c r="H194" i="1"/>
  <c r="H191" i="1" s="1"/>
  <c r="H101" i="1"/>
  <c r="H329" i="1" s="1"/>
  <c r="H345" i="1" s="1"/>
  <c r="H424" i="1" s="1"/>
  <c r="H421" i="1" s="1"/>
  <c r="G194" i="1"/>
  <c r="G191" i="1" s="1"/>
  <c r="G101" i="1"/>
  <c r="G329" i="1" s="1"/>
  <c r="G345" i="1" s="1"/>
  <c r="G424" i="1" s="1"/>
  <c r="G421" i="1" s="1"/>
  <c r="I194" i="1"/>
  <c r="I191" i="1" s="1"/>
  <c r="I101" i="1"/>
  <c r="I329" i="1" s="1"/>
  <c r="I345" i="1" s="1"/>
  <c r="I424" i="1" s="1"/>
  <c r="I421" i="1" s="1"/>
  <c r="K194" i="1"/>
  <c r="K191" i="1" s="1"/>
  <c r="K101" i="1"/>
  <c r="K329" i="1" s="1"/>
  <c r="K345" i="1" s="1"/>
  <c r="K424" i="1" s="1"/>
  <c r="K421" i="1" s="1"/>
  <c r="J194" i="1"/>
  <c r="J191" i="1" s="1"/>
  <c r="J101" i="1"/>
  <c r="J329" i="1" s="1"/>
  <c r="J345" i="1" s="1"/>
  <c r="J424" i="1" s="1"/>
  <c r="J421" i="1" s="1"/>
  <c r="J538" i="1" l="1"/>
  <c r="F538" i="1"/>
  <c r="H538" i="1"/>
  <c r="K538" i="1"/>
  <c r="G538" i="1"/>
  <c r="I538" i="1"/>
  <c r="F537" i="1"/>
  <c r="F536" i="1"/>
  <c r="J536" i="1"/>
  <c r="G536" i="1"/>
  <c r="H536" i="1"/>
  <c r="I536" i="1"/>
  <c r="K536" i="1"/>
  <c r="G267" i="1"/>
  <c r="G256" i="1" s="1"/>
  <c r="G108" i="1" l="1"/>
  <c r="G336" i="1" s="1"/>
  <c r="G352" i="1" s="1"/>
  <c r="G497" i="1" s="1"/>
  <c r="G486" i="1" s="1"/>
  <c r="G106" i="1"/>
  <c r="G334" i="1" s="1"/>
  <c r="G350" i="1" s="1"/>
  <c r="G495" i="1" s="1"/>
  <c r="G484" i="1" s="1"/>
  <c r="G265" i="1"/>
  <c r="G254" i="1" s="1"/>
  <c r="K106" i="1"/>
  <c r="K334" i="1" s="1"/>
  <c r="K350" i="1" s="1"/>
  <c r="K495" i="1" s="1"/>
  <c r="K484" i="1" s="1"/>
  <c r="K265" i="1"/>
  <c r="K254" i="1" s="1"/>
  <c r="F107" i="1"/>
  <c r="F335" i="1" s="1"/>
  <c r="F351" i="1" s="1"/>
  <c r="F496" i="1" s="1"/>
  <c r="F485" i="1" s="1"/>
  <c r="F266" i="1"/>
  <c r="F255" i="1" s="1"/>
  <c r="F106" i="1"/>
  <c r="F334" i="1" s="1"/>
  <c r="F350" i="1" s="1"/>
  <c r="F495" i="1" s="1"/>
  <c r="F484" i="1" s="1"/>
  <c r="F265" i="1"/>
  <c r="F254" i="1" s="1"/>
  <c r="J108" i="1"/>
  <c r="J336" i="1" s="1"/>
  <c r="J352" i="1" s="1"/>
  <c r="J497" i="1" s="1"/>
  <c r="J486" i="1" s="1"/>
  <c r="J267" i="1"/>
  <c r="J256" i="1" s="1"/>
  <c r="J106" i="1"/>
  <c r="J334" i="1" s="1"/>
  <c r="J350" i="1" s="1"/>
  <c r="J495" i="1" s="1"/>
  <c r="J484" i="1" s="1"/>
  <c r="J265" i="1"/>
  <c r="J254" i="1" s="1"/>
  <c r="F108" i="1"/>
  <c r="F336" i="1" s="1"/>
  <c r="F352" i="1" s="1"/>
  <c r="F497" i="1" s="1"/>
  <c r="F486" i="1" s="1"/>
  <c r="F267" i="1"/>
  <c r="F256" i="1" s="1"/>
  <c r="I106" i="1"/>
  <c r="I334" i="1" s="1"/>
  <c r="I350" i="1" s="1"/>
  <c r="I495" i="1" s="1"/>
  <c r="I484" i="1" s="1"/>
  <c r="I265" i="1"/>
  <c r="I254" i="1" s="1"/>
  <c r="H108" i="1"/>
  <c r="H336" i="1" s="1"/>
  <c r="H352" i="1" s="1"/>
  <c r="H497" i="1" s="1"/>
  <c r="H486" i="1" s="1"/>
  <c r="H267" i="1"/>
  <c r="H256" i="1" s="1"/>
  <c r="H106" i="1"/>
  <c r="H334" i="1" s="1"/>
  <c r="H350" i="1" s="1"/>
  <c r="H495" i="1" s="1"/>
  <c r="H484" i="1" s="1"/>
  <c r="H265" i="1"/>
  <c r="H254" i="1" s="1"/>
  <c r="K108" i="1"/>
  <c r="K336" i="1" s="1"/>
  <c r="K352" i="1" s="1"/>
  <c r="K497" i="1" s="1"/>
  <c r="K486" i="1" s="1"/>
  <c r="K267" i="1"/>
  <c r="K256" i="1" s="1"/>
  <c r="I108" i="1"/>
  <c r="I336" i="1" s="1"/>
  <c r="I352" i="1" s="1"/>
  <c r="I497" i="1" s="1"/>
  <c r="I486" i="1" s="1"/>
  <c r="I267" i="1"/>
  <c r="I256" i="1" s="1"/>
  <c r="K549" i="1" l="1"/>
  <c r="J549" i="1"/>
  <c r="I549" i="1"/>
  <c r="H549" i="1"/>
  <c r="G549" i="1"/>
  <c r="F549" i="1"/>
  <c r="F367" i="1" l="1"/>
  <c r="G367" i="1"/>
  <c r="H367" i="1"/>
  <c r="I367" i="1"/>
  <c r="J367" i="1"/>
  <c r="K367" i="1"/>
  <c r="K430" i="1" l="1"/>
  <c r="K433" i="1" s="1"/>
  <c r="J545" i="1"/>
  <c r="I430" i="1"/>
  <c r="I433" i="1" s="1"/>
  <c r="H545" i="1"/>
  <c r="G430" i="1"/>
  <c r="G433" i="1" s="1"/>
  <c r="F545" i="1"/>
  <c r="I200" i="1"/>
  <c r="I203" i="1" s="1"/>
  <c r="J146" i="1"/>
  <c r="J374" i="1" s="1"/>
  <c r="I146" i="1"/>
  <c r="I374" i="1" s="1"/>
  <c r="H200" i="1"/>
  <c r="H203" i="1" s="1"/>
  <c r="H146" i="1"/>
  <c r="H374" i="1" s="1"/>
  <c r="G200" i="1"/>
  <c r="G203" i="1" s="1"/>
  <c r="G146" i="1"/>
  <c r="G374" i="1" s="1"/>
  <c r="F200" i="1"/>
  <c r="F203" i="1" s="1"/>
  <c r="F146" i="1"/>
  <c r="F374" i="1" s="1"/>
  <c r="K200" i="1"/>
  <c r="K203" i="1" s="1"/>
  <c r="K146" i="1"/>
  <c r="K374" i="1" s="1"/>
  <c r="J200" i="1"/>
  <c r="J203" i="1" s="1"/>
  <c r="K545" i="1" l="1"/>
  <c r="H430" i="1"/>
  <c r="H433" i="1" s="1"/>
  <c r="F430" i="1"/>
  <c r="F433" i="1" s="1"/>
  <c r="J430" i="1"/>
  <c r="J433" i="1" s="1"/>
  <c r="I545" i="1"/>
  <c r="G545" i="1"/>
  <c r="J425" i="1"/>
  <c r="H425" i="1"/>
  <c r="G425" i="1"/>
  <c r="K425" i="1"/>
  <c r="F425" i="1"/>
  <c r="I425" i="1"/>
  <c r="F434" i="1"/>
  <c r="K434" i="1"/>
  <c r="G434" i="1"/>
  <c r="I434" i="1"/>
  <c r="H434" i="1"/>
  <c r="J434" i="1"/>
  <c r="J544" i="1" l="1"/>
  <c r="K544" i="1"/>
  <c r="H544" i="1"/>
  <c r="H548" i="1"/>
  <c r="F548" i="1"/>
  <c r="G548" i="1"/>
  <c r="I548" i="1"/>
  <c r="K548" i="1"/>
  <c r="J548" i="1"/>
  <c r="G544" i="1"/>
  <c r="I544" i="1"/>
  <c r="F544" i="1"/>
  <c r="K145" i="1"/>
  <c r="K366" i="1"/>
  <c r="K429" i="1" s="1"/>
  <c r="J145" i="1"/>
  <c r="J366" i="1"/>
  <c r="J429" i="1" s="1"/>
  <c r="I199" i="1"/>
  <c r="I202" i="1" s="1"/>
  <c r="I201" i="1" s="1"/>
  <c r="I366" i="1"/>
  <c r="I429" i="1" s="1"/>
  <c r="H145" i="1"/>
  <c r="H366" i="1"/>
  <c r="H429" i="1" s="1"/>
  <c r="F199" i="1"/>
  <c r="F202" i="1" s="1"/>
  <c r="F201" i="1" s="1"/>
  <c r="F366" i="1"/>
  <c r="F429" i="1" s="1"/>
  <c r="G199" i="1"/>
  <c r="G198" i="1" s="1"/>
  <c r="G366" i="1"/>
  <c r="G429" i="1" s="1"/>
  <c r="G145" i="1"/>
  <c r="F145" i="1"/>
  <c r="K199" i="1"/>
  <c r="K202" i="1" s="1"/>
  <c r="K201" i="1" s="1"/>
  <c r="J199" i="1"/>
  <c r="J202" i="1" s="1"/>
  <c r="J201" i="1" s="1"/>
  <c r="I145" i="1"/>
  <c r="H199" i="1"/>
  <c r="H202" i="1" s="1"/>
  <c r="H201" i="1" s="1"/>
  <c r="F198" i="1" l="1"/>
  <c r="F428" i="1"/>
  <c r="F432" i="1"/>
  <c r="F431" i="1" s="1"/>
  <c r="H428" i="1"/>
  <c r="H432" i="1"/>
  <c r="H431" i="1" s="1"/>
  <c r="I428" i="1"/>
  <c r="I432" i="1"/>
  <c r="I431" i="1" s="1"/>
  <c r="K428" i="1"/>
  <c r="K432" i="1"/>
  <c r="K431" i="1" s="1"/>
  <c r="G428" i="1"/>
  <c r="G432" i="1"/>
  <c r="G431" i="1" s="1"/>
  <c r="J428" i="1"/>
  <c r="J432" i="1"/>
  <c r="J431" i="1" s="1"/>
  <c r="J373" i="1"/>
  <c r="H373" i="1"/>
  <c r="I198" i="1"/>
  <c r="F373" i="1"/>
  <c r="K198" i="1"/>
  <c r="G202" i="1"/>
  <c r="G201" i="1" s="1"/>
  <c r="G373" i="1"/>
  <c r="I373" i="1"/>
  <c r="J198" i="1"/>
  <c r="K373" i="1"/>
  <c r="H198" i="1"/>
  <c r="K564" i="1" l="1"/>
  <c r="F564" i="1"/>
  <c r="H564" i="1"/>
  <c r="J564" i="1"/>
  <c r="G564" i="1"/>
  <c r="I564" i="1"/>
  <c r="G541" i="1"/>
  <c r="J541" i="1"/>
  <c r="K541" i="1"/>
  <c r="F541" i="1"/>
  <c r="H541" i="1"/>
  <c r="I541" i="1"/>
  <c r="G534" i="1"/>
  <c r="K534" i="1"/>
  <c r="I534" i="1"/>
  <c r="H534" i="1"/>
  <c r="J534" i="1"/>
  <c r="F534" i="1"/>
  <c r="F263" i="1"/>
  <c r="F252" i="1" s="1"/>
  <c r="G263" i="1"/>
  <c r="G252" i="1" s="1"/>
  <c r="H263" i="1"/>
  <c r="H252" i="1" s="1"/>
  <c r="I263" i="1"/>
  <c r="I252" i="1" s="1"/>
  <c r="K263" i="1"/>
  <c r="K252" i="1" s="1"/>
  <c r="J263" i="1"/>
  <c r="J252" i="1" s="1"/>
  <c r="F516" i="1" l="1"/>
  <c r="K395" i="1"/>
  <c r="K516" i="1"/>
  <c r="G395" i="1"/>
  <c r="G516" i="1"/>
  <c r="J395" i="1"/>
  <c r="J516" i="1"/>
  <c r="H395" i="1"/>
  <c r="H516" i="1"/>
  <c r="I395" i="1"/>
  <c r="I516" i="1"/>
  <c r="G111" i="1"/>
  <c r="G339" i="1" s="1"/>
  <c r="G355" i="1" s="1"/>
  <c r="G500" i="1" s="1"/>
  <c r="G489" i="1" s="1"/>
  <c r="G270" i="1"/>
  <c r="G259" i="1" s="1"/>
  <c r="I111" i="1"/>
  <c r="I339" i="1" s="1"/>
  <c r="I355" i="1" s="1"/>
  <c r="I500" i="1" s="1"/>
  <c r="I489" i="1" s="1"/>
  <c r="I270" i="1"/>
  <c r="I259" i="1" s="1"/>
  <c r="F111" i="1"/>
  <c r="F339" i="1" s="1"/>
  <c r="F355" i="1" s="1"/>
  <c r="F500" i="1" s="1"/>
  <c r="F489" i="1" s="1"/>
  <c r="F270" i="1"/>
  <c r="F259" i="1" s="1"/>
  <c r="K111" i="1"/>
  <c r="K339" i="1" s="1"/>
  <c r="K355" i="1" s="1"/>
  <c r="K500" i="1" s="1"/>
  <c r="K489" i="1" s="1"/>
  <c r="K270" i="1"/>
  <c r="K259" i="1" s="1"/>
  <c r="J111" i="1"/>
  <c r="J339" i="1" s="1"/>
  <c r="J355" i="1" s="1"/>
  <c r="J500" i="1" s="1"/>
  <c r="J489" i="1" s="1"/>
  <c r="J270" i="1"/>
  <c r="J259" i="1" s="1"/>
  <c r="H111" i="1"/>
  <c r="H339" i="1" s="1"/>
  <c r="H355" i="1" s="1"/>
  <c r="H500" i="1" s="1"/>
  <c r="H489" i="1" s="1"/>
  <c r="H270" i="1"/>
  <c r="H259" i="1" s="1"/>
  <c r="I104" i="1"/>
  <c r="I332" i="1" s="1"/>
  <c r="I348" i="1" s="1"/>
  <c r="I493" i="1" s="1"/>
  <c r="I482" i="1" s="1"/>
  <c r="G104" i="1"/>
  <c r="G332" i="1" s="1"/>
  <c r="G348" i="1" s="1"/>
  <c r="G493" i="1" s="1"/>
  <c r="G482" i="1" s="1"/>
  <c r="H104" i="1"/>
  <c r="H332" i="1" s="1"/>
  <c r="H348" i="1" s="1"/>
  <c r="H493" i="1" s="1"/>
  <c r="H482" i="1" s="1"/>
  <c r="J104" i="1"/>
  <c r="J332" i="1" s="1"/>
  <c r="J348" i="1" s="1"/>
  <c r="J493" i="1" s="1"/>
  <c r="J482" i="1" s="1"/>
  <c r="K104" i="1"/>
  <c r="K332" i="1" s="1"/>
  <c r="K348" i="1" s="1"/>
  <c r="K493" i="1" s="1"/>
  <c r="K482" i="1" s="1"/>
  <c r="F104" i="1"/>
  <c r="F332" i="1" s="1"/>
  <c r="F348" i="1" s="1"/>
  <c r="F493" i="1" s="1"/>
  <c r="F482" i="1" s="1"/>
  <c r="F563" i="1" l="1"/>
  <c r="H563" i="1"/>
  <c r="K563" i="1"/>
  <c r="J563" i="1"/>
  <c r="G563" i="1"/>
  <c r="I563" i="1"/>
  <c r="I365" i="1" l="1"/>
  <c r="I543" i="1"/>
  <c r="F365" i="1"/>
  <c r="F543" i="1"/>
  <c r="H144" i="1"/>
  <c r="H543" i="1"/>
  <c r="J365" i="1"/>
  <c r="J543" i="1"/>
  <c r="G144" i="1"/>
  <c r="G543" i="1"/>
  <c r="K144" i="1"/>
  <c r="K543" i="1"/>
  <c r="F547" i="1"/>
  <c r="F147" i="1"/>
  <c r="K147" i="1"/>
  <c r="J147" i="1"/>
  <c r="I147" i="1"/>
  <c r="H147" i="1"/>
  <c r="G147" i="1"/>
  <c r="K542" i="1"/>
  <c r="J542" i="1"/>
  <c r="I542" i="1"/>
  <c r="H542" i="1"/>
  <c r="G542" i="1"/>
  <c r="F542" i="1"/>
  <c r="I144" i="1" l="1"/>
  <c r="H365" i="1"/>
  <c r="H372" i="1" s="1"/>
  <c r="F144" i="1"/>
  <c r="F372" i="1" s="1"/>
  <c r="J144" i="1"/>
  <c r="J372" i="1" s="1"/>
  <c r="G365" i="1"/>
  <c r="G372" i="1" s="1"/>
  <c r="K365" i="1"/>
  <c r="K372" i="1" s="1"/>
  <c r="G148" i="1"/>
  <c r="G547" i="1"/>
  <c r="I148" i="1"/>
  <c r="I547" i="1"/>
  <c r="F148" i="1"/>
  <c r="K148" i="1"/>
  <c r="K547" i="1"/>
  <c r="H148" i="1"/>
  <c r="H547" i="1"/>
  <c r="J148" i="1"/>
  <c r="J547" i="1"/>
  <c r="I372" i="1"/>
  <c r="F128" i="1"/>
  <c r="G128" i="1"/>
  <c r="H128" i="1"/>
  <c r="I128" i="1"/>
  <c r="J128" i="1"/>
  <c r="K128" i="1"/>
  <c r="J376" i="1" l="1"/>
  <c r="J369" i="1"/>
  <c r="H376" i="1"/>
  <c r="H369" i="1"/>
  <c r="K376" i="1"/>
  <c r="K369" i="1"/>
  <c r="F376" i="1"/>
  <c r="F369" i="1"/>
  <c r="I376" i="1"/>
  <c r="I369" i="1"/>
  <c r="G376" i="1"/>
  <c r="G369" i="1"/>
  <c r="K135" i="1"/>
  <c r="K364" i="1"/>
  <c r="J135" i="1"/>
  <c r="J364" i="1"/>
  <c r="I135" i="1"/>
  <c r="I364" i="1"/>
  <c r="H135" i="1"/>
  <c r="H364" i="1"/>
  <c r="G135" i="1"/>
  <c r="G364" i="1"/>
  <c r="F135" i="1"/>
  <c r="F364" i="1"/>
  <c r="K143" i="1"/>
  <c r="K142" i="1" s="1"/>
  <c r="J143" i="1"/>
  <c r="J142" i="1" s="1"/>
  <c r="I143" i="1"/>
  <c r="I142" i="1" s="1"/>
  <c r="H143" i="1"/>
  <c r="H142" i="1" s="1"/>
  <c r="G143" i="1"/>
  <c r="G142" i="1" s="1"/>
  <c r="F143" i="1"/>
  <c r="F142" i="1" s="1"/>
  <c r="G363" i="1" l="1"/>
  <c r="G371" i="1"/>
  <c r="I371" i="1"/>
  <c r="I363" i="1"/>
  <c r="K371" i="1"/>
  <c r="K363" i="1"/>
  <c r="F363" i="1"/>
  <c r="F371" i="1"/>
  <c r="H371" i="1"/>
  <c r="H363" i="1"/>
  <c r="J371" i="1"/>
  <c r="J363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566" i="1"/>
  <c r="J566" i="1"/>
  <c r="I566" i="1"/>
  <c r="H566" i="1"/>
  <c r="G566" i="1"/>
  <c r="K565" i="1"/>
  <c r="J565" i="1"/>
  <c r="I565" i="1"/>
  <c r="H565" i="1"/>
  <c r="G565" i="1"/>
  <c r="K157" i="1"/>
  <c r="J157" i="1"/>
  <c r="I157" i="1"/>
  <c r="H157" i="1"/>
  <c r="G157" i="1"/>
  <c r="J529" i="1"/>
  <c r="I529" i="1"/>
  <c r="H529" i="1"/>
  <c r="G529" i="1"/>
  <c r="K528" i="1"/>
  <c r="J528" i="1"/>
  <c r="I528" i="1"/>
  <c r="H528" i="1"/>
  <c r="G528" i="1"/>
  <c r="K527" i="1"/>
  <c r="J527" i="1"/>
  <c r="I527" i="1"/>
  <c r="H527" i="1"/>
  <c r="G527" i="1"/>
  <c r="K522" i="1"/>
  <c r="J522" i="1"/>
  <c r="I522" i="1"/>
  <c r="H522" i="1"/>
  <c r="G522" i="1"/>
  <c r="K521" i="1"/>
  <c r="J521" i="1"/>
  <c r="I521" i="1"/>
  <c r="H521" i="1"/>
  <c r="G521" i="1"/>
  <c r="F157" i="1"/>
  <c r="F523" i="1"/>
  <c r="F522" i="1"/>
  <c r="F521" i="1"/>
  <c r="K554" i="1" l="1"/>
  <c r="I554" i="1"/>
  <c r="G554" i="1"/>
  <c r="H554" i="1"/>
  <c r="J554" i="1"/>
  <c r="I553" i="1"/>
  <c r="G553" i="1"/>
  <c r="J553" i="1"/>
  <c r="H553" i="1"/>
  <c r="K553" i="1"/>
  <c r="I540" i="1"/>
  <c r="G540" i="1"/>
  <c r="H540" i="1"/>
  <c r="K540" i="1"/>
  <c r="J540" i="1"/>
  <c r="K498" i="1"/>
  <c r="J498" i="1"/>
  <c r="I498" i="1"/>
  <c r="G498" i="1"/>
  <c r="H498" i="1"/>
  <c r="G537" i="1"/>
  <c r="I537" i="1"/>
  <c r="K537" i="1"/>
  <c r="H537" i="1"/>
  <c r="J537" i="1"/>
  <c r="J535" i="1"/>
  <c r="I535" i="1"/>
  <c r="K535" i="1"/>
  <c r="G535" i="1"/>
  <c r="H535" i="1"/>
  <c r="J62" i="1"/>
  <c r="J520" i="1"/>
  <c r="G62" i="1"/>
  <c r="G520" i="1"/>
  <c r="I62" i="1"/>
  <c r="I520" i="1"/>
  <c r="H62" i="1"/>
  <c r="H520" i="1"/>
  <c r="I377" i="1"/>
  <c r="H377" i="1"/>
  <c r="J377" i="1"/>
  <c r="G377" i="1"/>
  <c r="K377" i="1"/>
  <c r="G167" i="1"/>
  <c r="G166" i="1"/>
  <c r="G561" i="1" s="1"/>
  <c r="I167" i="1"/>
  <c r="I166" i="1"/>
  <c r="I561" i="1" s="1"/>
  <c r="H167" i="1"/>
  <c r="H166" i="1"/>
  <c r="H561" i="1" s="1"/>
  <c r="J167" i="1"/>
  <c r="J166" i="1"/>
  <c r="J561" i="1" s="1"/>
  <c r="K167" i="1"/>
  <c r="K166" i="1"/>
  <c r="K561" i="1" s="1"/>
  <c r="H98" i="1"/>
  <c r="H326" i="1" s="1"/>
  <c r="H342" i="1" s="1"/>
  <c r="J98" i="1"/>
  <c r="J326" i="1" s="1"/>
  <c r="J342" i="1" s="1"/>
  <c r="G98" i="1"/>
  <c r="G326" i="1" s="1"/>
  <c r="G342" i="1" s="1"/>
  <c r="H99" i="1"/>
  <c r="H327" i="1" s="1"/>
  <c r="H343" i="1" s="1"/>
  <c r="G125" i="1"/>
  <c r="G268" i="1" s="1"/>
  <c r="G257" i="1" s="1"/>
  <c r="I98" i="1"/>
  <c r="I326" i="1" s="1"/>
  <c r="I342" i="1" s="1"/>
  <c r="K98" i="1"/>
  <c r="K326" i="1" s="1"/>
  <c r="K342" i="1" s="1"/>
  <c r="G99" i="1"/>
  <c r="G327" i="1" s="1"/>
  <c r="G343" i="1" s="1"/>
  <c r="H125" i="1"/>
  <c r="I99" i="1"/>
  <c r="I327" i="1" s="1"/>
  <c r="I343" i="1" s="1"/>
  <c r="I100" i="1"/>
  <c r="I125" i="1"/>
  <c r="J99" i="1"/>
  <c r="J327" i="1" s="1"/>
  <c r="J343" i="1" s="1"/>
  <c r="J100" i="1"/>
  <c r="J125" i="1"/>
  <c r="G100" i="1"/>
  <c r="H100" i="1"/>
  <c r="K100" i="1"/>
  <c r="K125" i="1"/>
  <c r="H72" i="1"/>
  <c r="I72" i="1"/>
  <c r="G72" i="1"/>
  <c r="K72" i="1"/>
  <c r="G149" i="1"/>
  <c r="I171" i="1"/>
  <c r="F64" i="1"/>
  <c r="H97" i="1"/>
  <c r="H325" i="1" s="1"/>
  <c r="H341" i="1" s="1"/>
  <c r="H149" i="1"/>
  <c r="G97" i="1"/>
  <c r="G325" i="1" s="1"/>
  <c r="G341" i="1" s="1"/>
  <c r="I97" i="1"/>
  <c r="I325" i="1" s="1"/>
  <c r="I341" i="1" s="1"/>
  <c r="I149" i="1"/>
  <c r="J72" i="1"/>
  <c r="J97" i="1"/>
  <c r="J325" i="1" s="1"/>
  <c r="J341" i="1" s="1"/>
  <c r="J149" i="1"/>
  <c r="K97" i="1"/>
  <c r="K325" i="1" s="1"/>
  <c r="K341" i="1" s="1"/>
  <c r="K149" i="1"/>
  <c r="G159" i="1"/>
  <c r="G171" i="1"/>
  <c r="F159" i="1"/>
  <c r="H159" i="1"/>
  <c r="H171" i="1"/>
  <c r="I159" i="1"/>
  <c r="J159" i="1"/>
  <c r="J171" i="1"/>
  <c r="K159" i="1"/>
  <c r="K171" i="1"/>
  <c r="K529" i="1"/>
  <c r="F12" i="1"/>
  <c r="F1746" i="1" s="1"/>
  <c r="F1706" i="1" s="1"/>
  <c r="K575" i="1"/>
  <c r="J575" i="1"/>
  <c r="I575" i="1"/>
  <c r="H575" i="1"/>
  <c r="G575" i="1"/>
  <c r="F575" i="1"/>
  <c r="K213" i="1"/>
  <c r="J213" i="1"/>
  <c r="I213" i="1"/>
  <c r="G213" i="1"/>
  <c r="F213" i="1"/>
  <c r="K186" i="1"/>
  <c r="J186" i="1"/>
  <c r="I186" i="1"/>
  <c r="H186" i="1"/>
  <c r="G186" i="1"/>
  <c r="F186" i="1"/>
  <c r="F571" i="1"/>
  <c r="F570" i="1"/>
  <c r="F569" i="1"/>
  <c r="F568" i="1"/>
  <c r="F567" i="1"/>
  <c r="F566" i="1"/>
  <c r="F565" i="1"/>
  <c r="F529" i="1"/>
  <c r="F528" i="1"/>
  <c r="F527" i="1"/>
  <c r="H573" i="1" l="1"/>
  <c r="H213" i="1"/>
  <c r="K795" i="1"/>
  <c r="F791" i="1"/>
  <c r="G791" i="1"/>
  <c r="J791" i="1"/>
  <c r="F375" i="1"/>
  <c r="F370" i="1" s="1"/>
  <c r="F795" i="1"/>
  <c r="H791" i="1"/>
  <c r="K791" i="1"/>
  <c r="G508" i="1"/>
  <c r="G507" i="1" s="1"/>
  <c r="G795" i="1"/>
  <c r="H501" i="1"/>
  <c r="H795" i="1"/>
  <c r="I791" i="1"/>
  <c r="I795" i="1"/>
  <c r="J508" i="1"/>
  <c r="J507" i="1" s="1"/>
  <c r="J795" i="1"/>
  <c r="G539" i="1"/>
  <c r="F215" i="1"/>
  <c r="F574" i="1"/>
  <c r="J510" i="1"/>
  <c r="I510" i="1"/>
  <c r="H510" i="1"/>
  <c r="F554" i="1"/>
  <c r="K510" i="1"/>
  <c r="G510" i="1"/>
  <c r="F553" i="1"/>
  <c r="I552" i="1"/>
  <c r="J552" i="1"/>
  <c r="K552" i="1"/>
  <c r="F510" i="1"/>
  <c r="H552" i="1"/>
  <c r="G552" i="1"/>
  <c r="K501" i="1"/>
  <c r="J539" i="1"/>
  <c r="K539" i="1"/>
  <c r="H539" i="1"/>
  <c r="I539" i="1"/>
  <c r="F540" i="1"/>
  <c r="F498" i="1"/>
  <c r="F535" i="1"/>
  <c r="K533" i="1"/>
  <c r="I533" i="1"/>
  <c r="K532" i="1"/>
  <c r="J533" i="1"/>
  <c r="I468" i="1"/>
  <c r="H532" i="1"/>
  <c r="G533" i="1"/>
  <c r="H533" i="1"/>
  <c r="I64" i="1"/>
  <c r="I523" i="1"/>
  <c r="F62" i="1"/>
  <c r="F520" i="1"/>
  <c r="J64" i="1"/>
  <c r="J523" i="1"/>
  <c r="K62" i="1"/>
  <c r="K520" i="1"/>
  <c r="K64" i="1"/>
  <c r="K523" i="1"/>
  <c r="H64" i="1"/>
  <c r="H523" i="1"/>
  <c r="G64" i="1"/>
  <c r="G523" i="1"/>
  <c r="F377" i="1"/>
  <c r="J232" i="1"/>
  <c r="K232" i="1"/>
  <c r="G232" i="1"/>
  <c r="H232" i="1"/>
  <c r="F182" i="1"/>
  <c r="I232" i="1"/>
  <c r="F232" i="1"/>
  <c r="G109" i="1"/>
  <c r="K356" i="1"/>
  <c r="K368" i="1"/>
  <c r="K375" i="1"/>
  <c r="K370" i="1" s="1"/>
  <c r="F368" i="1"/>
  <c r="J356" i="1"/>
  <c r="J368" i="1"/>
  <c r="J375" i="1"/>
  <c r="J370" i="1" s="1"/>
  <c r="F278" i="1"/>
  <c r="F277" i="1" s="1"/>
  <c r="F271" i="1"/>
  <c r="H278" i="1"/>
  <c r="H277" i="1" s="1"/>
  <c r="H271" i="1"/>
  <c r="I278" i="1"/>
  <c r="I277" i="1" s="1"/>
  <c r="I271" i="1"/>
  <c r="J278" i="1"/>
  <c r="J277" i="1" s="1"/>
  <c r="J271" i="1"/>
  <c r="K278" i="1"/>
  <c r="K277" i="1" s="1"/>
  <c r="K271" i="1"/>
  <c r="G278" i="1"/>
  <c r="G277" i="1" s="1"/>
  <c r="G271" i="1"/>
  <c r="K110" i="1"/>
  <c r="K269" i="1"/>
  <c r="K258" i="1" s="1"/>
  <c r="I110" i="1"/>
  <c r="I269" i="1"/>
  <c r="I258" i="1" s="1"/>
  <c r="I109" i="1"/>
  <c r="I268" i="1"/>
  <c r="I257" i="1" s="1"/>
  <c r="H110" i="1"/>
  <c r="H269" i="1"/>
  <c r="H258" i="1" s="1"/>
  <c r="G110" i="1"/>
  <c r="G269" i="1"/>
  <c r="G258" i="1" s="1"/>
  <c r="H109" i="1"/>
  <c r="H268" i="1"/>
  <c r="H257" i="1" s="1"/>
  <c r="J110" i="1"/>
  <c r="J269" i="1"/>
  <c r="J258" i="1" s="1"/>
  <c r="K109" i="1"/>
  <c r="K268" i="1"/>
  <c r="K257" i="1" s="1"/>
  <c r="J109" i="1"/>
  <c r="J268" i="1"/>
  <c r="J257" i="1" s="1"/>
  <c r="K107" i="1"/>
  <c r="K335" i="1" s="1"/>
  <c r="K351" i="1" s="1"/>
  <c r="K496" i="1" s="1"/>
  <c r="K485" i="1" s="1"/>
  <c r="K266" i="1"/>
  <c r="K255" i="1" s="1"/>
  <c r="I107" i="1"/>
  <c r="I335" i="1" s="1"/>
  <c r="I351" i="1" s="1"/>
  <c r="I496" i="1" s="1"/>
  <c r="I485" i="1" s="1"/>
  <c r="I266" i="1"/>
  <c r="I255" i="1" s="1"/>
  <c r="I105" i="1"/>
  <c r="I333" i="1" s="1"/>
  <c r="I349" i="1" s="1"/>
  <c r="I494" i="1" s="1"/>
  <c r="I483" i="1" s="1"/>
  <c r="I264" i="1"/>
  <c r="I253" i="1" s="1"/>
  <c r="G107" i="1"/>
  <c r="G335" i="1" s="1"/>
  <c r="G351" i="1" s="1"/>
  <c r="G496" i="1" s="1"/>
  <c r="G485" i="1" s="1"/>
  <c r="G266" i="1"/>
  <c r="G255" i="1" s="1"/>
  <c r="J107" i="1"/>
  <c r="J335" i="1" s="1"/>
  <c r="J351" i="1" s="1"/>
  <c r="J496" i="1" s="1"/>
  <c r="J485" i="1" s="1"/>
  <c r="J266" i="1"/>
  <c r="J255" i="1" s="1"/>
  <c r="H107" i="1"/>
  <c r="H335" i="1" s="1"/>
  <c r="H351" i="1" s="1"/>
  <c r="H496" i="1" s="1"/>
  <c r="H485" i="1" s="1"/>
  <c r="H266" i="1"/>
  <c r="H255" i="1" s="1"/>
  <c r="H105" i="1"/>
  <c r="H333" i="1" s="1"/>
  <c r="H349" i="1" s="1"/>
  <c r="H494" i="1" s="1"/>
  <c r="H483" i="1" s="1"/>
  <c r="H264" i="1"/>
  <c r="H253" i="1" s="1"/>
  <c r="J105" i="1"/>
  <c r="J333" i="1" s="1"/>
  <c r="J349" i="1" s="1"/>
  <c r="J494" i="1" s="1"/>
  <c r="J483" i="1" s="1"/>
  <c r="J264" i="1"/>
  <c r="J253" i="1" s="1"/>
  <c r="K105" i="1"/>
  <c r="K333" i="1" s="1"/>
  <c r="K349" i="1" s="1"/>
  <c r="K494" i="1" s="1"/>
  <c r="K483" i="1" s="1"/>
  <c r="K264" i="1"/>
  <c r="K253" i="1" s="1"/>
  <c r="G105" i="1"/>
  <c r="G333" i="1" s="1"/>
  <c r="G349" i="1" s="1"/>
  <c r="G494" i="1" s="1"/>
  <c r="G483" i="1" s="1"/>
  <c r="G264" i="1"/>
  <c r="G253" i="1" s="1"/>
  <c r="H220" i="1"/>
  <c r="H219" i="1" s="1"/>
  <c r="H217" i="1"/>
  <c r="K220" i="1"/>
  <c r="K219" i="1" s="1"/>
  <c r="K217" i="1"/>
  <c r="I220" i="1"/>
  <c r="I219" i="1" s="1"/>
  <c r="I217" i="1"/>
  <c r="J220" i="1"/>
  <c r="J219" i="1" s="1"/>
  <c r="J217" i="1"/>
  <c r="G220" i="1"/>
  <c r="G219" i="1" s="1"/>
  <c r="G217" i="1"/>
  <c r="F220" i="1"/>
  <c r="F219" i="1" s="1"/>
  <c r="F217" i="1"/>
  <c r="H212" i="1"/>
  <c r="H211" i="1" s="1"/>
  <c r="H209" i="1"/>
  <c r="G237" i="1"/>
  <c r="H237" i="1"/>
  <c r="I237" i="1"/>
  <c r="J237" i="1"/>
  <c r="K237" i="1"/>
  <c r="I193" i="1"/>
  <c r="K193" i="1"/>
  <c r="G193" i="1"/>
  <c r="H193" i="1"/>
  <c r="F167" i="1"/>
  <c r="F166" i="1"/>
  <c r="F561" i="1" s="1"/>
  <c r="G261" i="1"/>
  <c r="K261" i="1"/>
  <c r="J262" i="1"/>
  <c r="J251" i="1" s="1"/>
  <c r="I262" i="1"/>
  <c r="I251" i="1" s="1"/>
  <c r="F98" i="1"/>
  <c r="F326" i="1" s="1"/>
  <c r="F342" i="1" s="1"/>
  <c r="I261" i="1"/>
  <c r="G262" i="1"/>
  <c r="G251" i="1" s="1"/>
  <c r="K262" i="1"/>
  <c r="K251" i="1" s="1"/>
  <c r="F99" i="1"/>
  <c r="F327" i="1" s="1"/>
  <c r="F343" i="1" s="1"/>
  <c r="J193" i="1"/>
  <c r="F72" i="1"/>
  <c r="F193" i="1"/>
  <c r="H262" i="1"/>
  <c r="H251" i="1" s="1"/>
  <c r="F125" i="1"/>
  <c r="J261" i="1"/>
  <c r="H261" i="1"/>
  <c r="K99" i="1"/>
  <c r="K327" i="1" s="1"/>
  <c r="K343" i="1" s="1"/>
  <c r="F573" i="1"/>
  <c r="J573" i="1"/>
  <c r="F181" i="1"/>
  <c r="F237" i="1"/>
  <c r="F236" i="1" s="1"/>
  <c r="G181" i="1"/>
  <c r="I181" i="1"/>
  <c r="K181" i="1"/>
  <c r="F185" i="1"/>
  <c r="F184" i="1" s="1"/>
  <c r="H181" i="1"/>
  <c r="I185" i="1"/>
  <c r="I184" i="1" s="1"/>
  <c r="J181" i="1"/>
  <c r="I80" i="1"/>
  <c r="F97" i="1"/>
  <c r="F325" i="1" s="1"/>
  <c r="F341" i="1" s="1"/>
  <c r="F171" i="1"/>
  <c r="H185" i="1"/>
  <c r="H184" i="1" s="1"/>
  <c r="G80" i="1"/>
  <c r="I573" i="1"/>
  <c r="F149" i="1"/>
  <c r="G573" i="1"/>
  <c r="K185" i="1"/>
  <c r="K184" i="1" s="1"/>
  <c r="G185" i="1"/>
  <c r="G184" i="1" s="1"/>
  <c r="H80" i="1"/>
  <c r="K80" i="1"/>
  <c r="K573" i="1"/>
  <c r="J185" i="1"/>
  <c r="J184" i="1" s="1"/>
  <c r="J80" i="1"/>
  <c r="I12" i="1"/>
  <c r="I1746" i="1" s="1"/>
  <c r="I1706" i="1" s="1"/>
  <c r="J12" i="1"/>
  <c r="J1746" i="1" s="1"/>
  <c r="J1706" i="1" s="1"/>
  <c r="K12" i="1"/>
  <c r="K1746" i="1" s="1"/>
  <c r="K1706" i="1" s="1"/>
  <c r="G12" i="1"/>
  <c r="G1746" i="1" s="1"/>
  <c r="G1706" i="1" s="1"/>
  <c r="H12" i="1"/>
  <c r="H1746" i="1" s="1"/>
  <c r="H1706" i="1" s="1"/>
  <c r="I368" i="1" l="1"/>
  <c r="J468" i="1"/>
  <c r="I375" i="1"/>
  <c r="I370" i="1" s="1"/>
  <c r="I356" i="1"/>
  <c r="I338" i="1"/>
  <c r="I354" i="1" s="1"/>
  <c r="I499" i="1" s="1"/>
  <c r="I488" i="1" s="1"/>
  <c r="H338" i="1"/>
  <c r="H354" i="1" s="1"/>
  <c r="H499" i="1" s="1"/>
  <c r="H488" i="1" s="1"/>
  <c r="K338" i="1"/>
  <c r="K354" i="1" s="1"/>
  <c r="K499" i="1" s="1"/>
  <c r="K488" i="1" s="1"/>
  <c r="J337" i="1"/>
  <c r="J353" i="1" s="1"/>
  <c r="K337" i="1"/>
  <c r="K353" i="1" s="1"/>
  <c r="J338" i="1"/>
  <c r="J354" i="1" s="1"/>
  <c r="J499" i="1" s="1"/>
  <c r="J488" i="1" s="1"/>
  <c r="G337" i="1"/>
  <c r="G353" i="1" s="1"/>
  <c r="I337" i="1"/>
  <c r="I353" i="1" s="1"/>
  <c r="H337" i="1"/>
  <c r="H353" i="1" s="1"/>
  <c r="G338" i="1"/>
  <c r="G354" i="1" s="1"/>
  <c r="G499" i="1" s="1"/>
  <c r="G488" i="1" s="1"/>
  <c r="F356" i="1"/>
  <c r="I546" i="1"/>
  <c r="I501" i="1"/>
  <c r="I235" i="1"/>
  <c r="I234" i="1" s="1"/>
  <c r="I236" i="1"/>
  <c r="J235" i="1"/>
  <c r="J234" i="1" s="1"/>
  <c r="J236" i="1"/>
  <c r="G235" i="1"/>
  <c r="G234" i="1" s="1"/>
  <c r="G236" i="1"/>
  <c r="H235" i="1"/>
  <c r="H234" i="1" s="1"/>
  <c r="H236" i="1"/>
  <c r="K235" i="1"/>
  <c r="K234" i="1" s="1"/>
  <c r="K236" i="1"/>
  <c r="K190" i="1"/>
  <c r="K189" i="1" s="1"/>
  <c r="K192" i="1"/>
  <c r="F190" i="1"/>
  <c r="F189" i="1" s="1"/>
  <c r="F192" i="1"/>
  <c r="I190" i="1"/>
  <c r="I189" i="1" s="1"/>
  <c r="I192" i="1"/>
  <c r="J190" i="1"/>
  <c r="J189" i="1" s="1"/>
  <c r="J192" i="1"/>
  <c r="G190" i="1"/>
  <c r="G189" i="1" s="1"/>
  <c r="G192" i="1"/>
  <c r="H190" i="1"/>
  <c r="H189" i="1" s="1"/>
  <c r="H192" i="1"/>
  <c r="K790" i="1"/>
  <c r="K832" i="1" s="1"/>
  <c r="K865" i="1" s="1"/>
  <c r="J790" i="1"/>
  <c r="J832" i="1" s="1"/>
  <c r="J865" i="1" s="1"/>
  <c r="I790" i="1"/>
  <c r="I832" i="1" s="1"/>
  <c r="I865" i="1" s="1"/>
  <c r="H368" i="1"/>
  <c r="H790" i="1"/>
  <c r="H375" i="1"/>
  <c r="H370" i="1" s="1"/>
  <c r="G375" i="1"/>
  <c r="G370" i="1" s="1"/>
  <c r="F508" i="1"/>
  <c r="F507" i="1" s="1"/>
  <c r="G368" i="1"/>
  <c r="G790" i="1"/>
  <c r="G832" i="1" s="1"/>
  <c r="G865" i="1" s="1"/>
  <c r="G356" i="1"/>
  <c r="H356" i="1"/>
  <c r="G215" i="1"/>
  <c r="G574" i="1"/>
  <c r="J225" i="1"/>
  <c r="J577" i="1"/>
  <c r="K225" i="1"/>
  <c r="K577" i="1"/>
  <c r="G225" i="1"/>
  <c r="G577" i="1"/>
  <c r="F552" i="1"/>
  <c r="J215" i="1"/>
  <c r="J574" i="1"/>
  <c r="H225" i="1"/>
  <c r="H577" i="1"/>
  <c r="K215" i="1"/>
  <c r="K574" i="1"/>
  <c r="F225" i="1"/>
  <c r="F577" i="1"/>
  <c r="I215" i="1"/>
  <c r="I574" i="1"/>
  <c r="I225" i="1"/>
  <c r="I577" i="1"/>
  <c r="H215" i="1"/>
  <c r="H574" i="1"/>
  <c r="H546" i="1"/>
  <c r="H508" i="1"/>
  <c r="H507" i="1" s="1"/>
  <c r="J546" i="1"/>
  <c r="F539" i="1"/>
  <c r="G501" i="1"/>
  <c r="G546" i="1"/>
  <c r="J501" i="1"/>
  <c r="I508" i="1"/>
  <c r="I507" i="1" s="1"/>
  <c r="G468" i="1"/>
  <c r="K508" i="1"/>
  <c r="K507" i="1" s="1"/>
  <c r="G231" i="1"/>
  <c r="K546" i="1"/>
  <c r="I532" i="1"/>
  <c r="J61" i="1"/>
  <c r="G61" i="1"/>
  <c r="K468" i="1"/>
  <c r="G532" i="1"/>
  <c r="H468" i="1"/>
  <c r="I61" i="1"/>
  <c r="J532" i="1"/>
  <c r="K61" i="1"/>
  <c r="F533" i="1"/>
  <c r="H530" i="1"/>
  <c r="F416" i="1"/>
  <c r="J416" i="1"/>
  <c r="J409" i="1" s="1"/>
  <c r="J408" i="1" s="1"/>
  <c r="I416" i="1"/>
  <c r="I409" i="1" s="1"/>
  <c r="I408" i="1" s="1"/>
  <c r="K231" i="1"/>
  <c r="H61" i="1"/>
  <c r="J231" i="1"/>
  <c r="F303" i="1"/>
  <c r="H303" i="1"/>
  <c r="H296" i="1"/>
  <c r="I303" i="1"/>
  <c r="I296" i="1"/>
  <c r="G303" i="1"/>
  <c r="G296" i="1"/>
  <c r="I231" i="1"/>
  <c r="K303" i="1"/>
  <c r="K296" i="1"/>
  <c r="F415" i="1"/>
  <c r="F302" i="1"/>
  <c r="F296" i="1"/>
  <c r="H231" i="1"/>
  <c r="J303" i="1"/>
  <c r="J296" i="1"/>
  <c r="K328" i="1"/>
  <c r="K344" i="1" s="1"/>
  <c r="K530" i="1"/>
  <c r="G328" i="1"/>
  <c r="G344" i="1" s="1"/>
  <c r="G530" i="1"/>
  <c r="H308" i="1"/>
  <c r="G308" i="1"/>
  <c r="J308" i="1"/>
  <c r="I308" i="1"/>
  <c r="I328" i="1"/>
  <c r="I344" i="1" s="1"/>
  <c r="K308" i="1"/>
  <c r="H328" i="1"/>
  <c r="H344" i="1" s="1"/>
  <c r="J328" i="1"/>
  <c r="J344" i="1" s="1"/>
  <c r="J250" i="1"/>
  <c r="J249" i="1" s="1"/>
  <c r="J260" i="1"/>
  <c r="I250" i="1"/>
  <c r="I249" i="1" s="1"/>
  <c r="I260" i="1"/>
  <c r="K250" i="1"/>
  <c r="K249" i="1" s="1"/>
  <c r="K260" i="1"/>
  <c r="F110" i="1"/>
  <c r="F269" i="1"/>
  <c r="F258" i="1" s="1"/>
  <c r="G250" i="1"/>
  <c r="G249" i="1" s="1"/>
  <c r="G260" i="1"/>
  <c r="F109" i="1"/>
  <c r="F268" i="1"/>
  <c r="F257" i="1" s="1"/>
  <c r="H250" i="1"/>
  <c r="H249" i="1" s="1"/>
  <c r="H260" i="1"/>
  <c r="J102" i="1"/>
  <c r="J330" i="1" s="1"/>
  <c r="J346" i="1" s="1"/>
  <c r="J491" i="1" s="1"/>
  <c r="F105" i="1"/>
  <c r="F333" i="1" s="1"/>
  <c r="F349" i="1" s="1"/>
  <c r="F494" i="1" s="1"/>
  <c r="F483" i="1" s="1"/>
  <c r="F264" i="1"/>
  <c r="F253" i="1" s="1"/>
  <c r="J212" i="1"/>
  <c r="J211" i="1" s="1"/>
  <c r="J209" i="1"/>
  <c r="F212" i="1"/>
  <c r="F211" i="1" s="1"/>
  <c r="F209" i="1"/>
  <c r="I212" i="1"/>
  <c r="I211" i="1" s="1"/>
  <c r="I209" i="1"/>
  <c r="K212" i="1"/>
  <c r="K211" i="1" s="1"/>
  <c r="K209" i="1"/>
  <c r="G212" i="1"/>
  <c r="G211" i="1" s="1"/>
  <c r="G209" i="1"/>
  <c r="F100" i="1"/>
  <c r="F328" i="1" s="1"/>
  <c r="F344" i="1" s="1"/>
  <c r="G102" i="1"/>
  <c r="G330" i="1" s="1"/>
  <c r="G346" i="1" s="1"/>
  <c r="G491" i="1" s="1"/>
  <c r="H102" i="1"/>
  <c r="H330" i="1" s="1"/>
  <c r="H346" i="1" s="1"/>
  <c r="H491" i="1" s="1"/>
  <c r="H103" i="1"/>
  <c r="H331" i="1" s="1"/>
  <c r="H347" i="1" s="1"/>
  <c r="H492" i="1" s="1"/>
  <c r="H481" i="1" s="1"/>
  <c r="F235" i="1"/>
  <c r="F234" i="1" s="1"/>
  <c r="K102" i="1"/>
  <c r="K330" i="1" s="1"/>
  <c r="K346" i="1" s="1"/>
  <c r="K491" i="1" s="1"/>
  <c r="J103" i="1"/>
  <c r="J331" i="1" s="1"/>
  <c r="J347" i="1" s="1"/>
  <c r="J492" i="1" s="1"/>
  <c r="J481" i="1" s="1"/>
  <c r="G103" i="1"/>
  <c r="G331" i="1" s="1"/>
  <c r="G347" i="1" s="1"/>
  <c r="G492" i="1" s="1"/>
  <c r="G481" i="1" s="1"/>
  <c r="I112" i="1"/>
  <c r="I96" i="1" s="1"/>
  <c r="I102" i="1"/>
  <c r="I330" i="1" s="1"/>
  <c r="I346" i="1" s="1"/>
  <c r="I491" i="1" s="1"/>
  <c r="K112" i="1"/>
  <c r="K96" i="1" s="1"/>
  <c r="I103" i="1"/>
  <c r="I331" i="1" s="1"/>
  <c r="I347" i="1" s="1"/>
  <c r="I492" i="1" s="1"/>
  <c r="I481" i="1" s="1"/>
  <c r="G112" i="1"/>
  <c r="G96" i="1" s="1"/>
  <c r="F262" i="1"/>
  <c r="F251" i="1" s="1"/>
  <c r="J112" i="1"/>
  <c r="J96" i="1" s="1"/>
  <c r="H112" i="1"/>
  <c r="H96" i="1" s="1"/>
  <c r="K103" i="1"/>
  <c r="K331" i="1" s="1"/>
  <c r="K347" i="1" s="1"/>
  <c r="K492" i="1" s="1"/>
  <c r="K481" i="1" s="1"/>
  <c r="F80" i="1"/>
  <c r="F61" i="1" s="1"/>
  <c r="F337" i="1" l="1"/>
  <c r="F353" i="1" s="1"/>
  <c r="F338" i="1"/>
  <c r="F354" i="1" s="1"/>
  <c r="F499" i="1" s="1"/>
  <c r="F488" i="1" s="1"/>
  <c r="K836" i="1"/>
  <c r="K869" i="1" s="1"/>
  <c r="F413" i="1"/>
  <c r="F412" i="1" s="1"/>
  <c r="F414" i="1"/>
  <c r="I836" i="1"/>
  <c r="I869" i="1" s="1"/>
  <c r="J836" i="1"/>
  <c r="J869" i="1" s="1"/>
  <c r="I874" i="1"/>
  <c r="I840" i="1"/>
  <c r="I873" i="1" s="1"/>
  <c r="I837" i="1"/>
  <c r="I870" i="1" s="1"/>
  <c r="I834" i="1"/>
  <c r="I867" i="1" s="1"/>
  <c r="I839" i="1"/>
  <c r="I872" i="1" s="1"/>
  <c r="I838" i="1"/>
  <c r="I871" i="1" s="1"/>
  <c r="I835" i="1"/>
  <c r="I868" i="1" s="1"/>
  <c r="I833" i="1"/>
  <c r="I866" i="1" s="1"/>
  <c r="H208" i="1"/>
  <c r="H180" i="1" s="1"/>
  <c r="H179" i="1" s="1"/>
  <c r="H874" i="1"/>
  <c r="H840" i="1"/>
  <c r="H873" i="1" s="1"/>
  <c r="H839" i="1"/>
  <c r="H872" i="1" s="1"/>
  <c r="H838" i="1"/>
  <c r="H871" i="1" s="1"/>
  <c r="H837" i="1"/>
  <c r="H870" i="1" s="1"/>
  <c r="H834" i="1"/>
  <c r="H867" i="1" s="1"/>
  <c r="H835" i="1"/>
  <c r="H868" i="1" s="1"/>
  <c r="H833" i="1"/>
  <c r="H866" i="1" s="1"/>
  <c r="J874" i="1"/>
  <c r="J840" i="1"/>
  <c r="J873" i="1" s="1"/>
  <c r="J837" i="1"/>
  <c r="J870" i="1" s="1"/>
  <c r="J839" i="1"/>
  <c r="J872" i="1" s="1"/>
  <c r="J838" i="1"/>
  <c r="J871" i="1" s="1"/>
  <c r="J834" i="1"/>
  <c r="J867" i="1" s="1"/>
  <c r="J835" i="1"/>
  <c r="J868" i="1" s="1"/>
  <c r="J833" i="1"/>
  <c r="J866" i="1" s="1"/>
  <c r="F546" i="1"/>
  <c r="H836" i="1"/>
  <c r="H869" i="1" s="1"/>
  <c r="H832" i="1"/>
  <c r="H865" i="1" s="1"/>
  <c r="F501" i="1"/>
  <c r="G874" i="1"/>
  <c r="G840" i="1"/>
  <c r="G873" i="1" s="1"/>
  <c r="G834" i="1"/>
  <c r="G867" i="1" s="1"/>
  <c r="G838" i="1"/>
  <c r="G871" i="1" s="1"/>
  <c r="G837" i="1"/>
  <c r="G870" i="1" s="1"/>
  <c r="G839" i="1"/>
  <c r="G872" i="1" s="1"/>
  <c r="G835" i="1"/>
  <c r="G868" i="1" s="1"/>
  <c r="G833" i="1"/>
  <c r="G866" i="1" s="1"/>
  <c r="K874" i="1"/>
  <c r="K840" i="1"/>
  <c r="K873" i="1" s="1"/>
  <c r="K834" i="1"/>
  <c r="K867" i="1" s="1"/>
  <c r="K839" i="1"/>
  <c r="K872" i="1" s="1"/>
  <c r="K838" i="1"/>
  <c r="K871" i="1" s="1"/>
  <c r="K837" i="1"/>
  <c r="K870" i="1" s="1"/>
  <c r="K835" i="1"/>
  <c r="K868" i="1" s="1"/>
  <c r="K833" i="1"/>
  <c r="K866" i="1" s="1"/>
  <c r="G836" i="1"/>
  <c r="G869" i="1" s="1"/>
  <c r="G208" i="1"/>
  <c r="G180" i="1" s="1"/>
  <c r="G179" i="1" s="1"/>
  <c r="K208" i="1"/>
  <c r="K180" i="1" s="1"/>
  <c r="K179" i="1" s="1"/>
  <c r="J208" i="1"/>
  <c r="J180" i="1" s="1"/>
  <c r="J179" i="1" s="1"/>
  <c r="F208" i="1"/>
  <c r="F180" i="1" s="1"/>
  <c r="I208" i="1"/>
  <c r="I180" i="1" s="1"/>
  <c r="I179" i="1" s="1"/>
  <c r="J530" i="1"/>
  <c r="I530" i="1"/>
  <c r="F423" i="1"/>
  <c r="I423" i="1"/>
  <c r="H416" i="1"/>
  <c r="H409" i="1" s="1"/>
  <c r="H408" i="1" s="1"/>
  <c r="F530" i="1"/>
  <c r="I462" i="1"/>
  <c r="I461" i="1" s="1"/>
  <c r="I407" i="1" s="1"/>
  <c r="I526" i="1"/>
  <c r="K462" i="1"/>
  <c r="K461" i="1" s="1"/>
  <c r="K526" i="1"/>
  <c r="G462" i="1"/>
  <c r="G461" i="1" s="1"/>
  <c r="G526" i="1"/>
  <c r="J462" i="1"/>
  <c r="J461" i="1" s="1"/>
  <c r="J407" i="1" s="1"/>
  <c r="J526" i="1"/>
  <c r="H462" i="1"/>
  <c r="H461" i="1" s="1"/>
  <c r="H526" i="1"/>
  <c r="F462" i="1"/>
  <c r="F526" i="1"/>
  <c r="F525" i="1"/>
  <c r="K300" i="1"/>
  <c r="K289" i="1" s="1"/>
  <c r="G300" i="1"/>
  <c r="G289" i="1" s="1"/>
  <c r="I300" i="1"/>
  <c r="I289" i="1" s="1"/>
  <c r="H300" i="1"/>
  <c r="H289" i="1" s="1"/>
  <c r="J300" i="1"/>
  <c r="J289" i="1" s="1"/>
  <c r="F300" i="1"/>
  <c r="K480" i="1"/>
  <c r="K479" i="1" s="1"/>
  <c r="K490" i="1"/>
  <c r="G480" i="1"/>
  <c r="G479" i="1" s="1"/>
  <c r="G490" i="1"/>
  <c r="H480" i="1"/>
  <c r="H479" i="1" s="1"/>
  <c r="H490" i="1"/>
  <c r="I480" i="1"/>
  <c r="I479" i="1" s="1"/>
  <c r="I490" i="1"/>
  <c r="J480" i="1"/>
  <c r="J479" i="1" s="1"/>
  <c r="J490" i="1"/>
  <c r="G423" i="1"/>
  <c r="J467" i="1"/>
  <c r="G467" i="1"/>
  <c r="H467" i="1"/>
  <c r="K467" i="1"/>
  <c r="I467" i="1"/>
  <c r="F410" i="1"/>
  <c r="F409" i="1" s="1"/>
  <c r="F408" i="1" s="1"/>
  <c r="F467" i="1"/>
  <c r="K423" i="1"/>
  <c r="J340" i="1"/>
  <c r="J324" i="1" s="1"/>
  <c r="J423" i="1"/>
  <c r="K416" i="1"/>
  <c r="K409" i="1" s="1"/>
  <c r="K408" i="1" s="1"/>
  <c r="H340" i="1"/>
  <c r="H324" i="1" s="1"/>
  <c r="H423" i="1"/>
  <c r="G416" i="1"/>
  <c r="G409" i="1" s="1"/>
  <c r="G408" i="1" s="1"/>
  <c r="F395" i="1"/>
  <c r="K340" i="1"/>
  <c r="K324" i="1" s="1"/>
  <c r="I340" i="1"/>
  <c r="I324" i="1" s="1"/>
  <c r="G340" i="1"/>
  <c r="G324" i="1" s="1"/>
  <c r="F102" i="1"/>
  <c r="F112" i="1"/>
  <c r="F96" i="1" s="1"/>
  <c r="F103" i="1"/>
  <c r="F331" i="1" s="1"/>
  <c r="F347" i="1" s="1"/>
  <c r="F492" i="1" s="1"/>
  <c r="F481" i="1" s="1"/>
  <c r="F9" i="4" l="1"/>
  <c r="F8" i="4" s="1"/>
  <c r="G9" i="4"/>
  <c r="G8" i="4" s="1"/>
  <c r="I465" i="1"/>
  <c r="I464" i="1" s="1"/>
  <c r="I466" i="1"/>
  <c r="F465" i="1"/>
  <c r="F464" i="1" s="1"/>
  <c r="F466" i="1"/>
  <c r="K465" i="1"/>
  <c r="K464" i="1" s="1"/>
  <c r="K466" i="1"/>
  <c r="G465" i="1"/>
  <c r="G464" i="1" s="1"/>
  <c r="G466" i="1"/>
  <c r="H465" i="1"/>
  <c r="H464" i="1" s="1"/>
  <c r="H466" i="1"/>
  <c r="J465" i="1"/>
  <c r="J464" i="1" s="1"/>
  <c r="J466" i="1"/>
  <c r="J420" i="1"/>
  <c r="J419" i="1" s="1"/>
  <c r="J422" i="1"/>
  <c r="K420" i="1"/>
  <c r="K419" i="1" s="1"/>
  <c r="K422" i="1"/>
  <c r="H420" i="1"/>
  <c r="H419" i="1" s="1"/>
  <c r="H422" i="1"/>
  <c r="I420" i="1"/>
  <c r="I419" i="1" s="1"/>
  <c r="I422" i="1"/>
  <c r="F420" i="1"/>
  <c r="F419" i="1" s="1"/>
  <c r="F422" i="1"/>
  <c r="G420" i="1"/>
  <c r="G419" i="1" s="1"/>
  <c r="G422" i="1"/>
  <c r="H407" i="1"/>
  <c r="E9" i="4" s="1"/>
  <c r="E8" i="4" s="1"/>
  <c r="G407" i="1"/>
  <c r="D9" i="4" s="1"/>
  <c r="D8" i="4" s="1"/>
  <c r="K407" i="1"/>
  <c r="H9" i="4" s="1"/>
  <c r="H8" i="4" s="1"/>
  <c r="J2" i="1"/>
  <c r="G14" i="4" l="1"/>
  <c r="G13" i="4"/>
  <c r="H2" i="1"/>
  <c r="K2" i="1"/>
  <c r="I2" i="1"/>
  <c r="G2" i="1"/>
  <c r="F2" i="1"/>
  <c r="F1202" i="1"/>
  <c r="F14" i="4" l="1"/>
  <c r="F13" i="4"/>
  <c r="C14" i="4"/>
  <c r="C13" i="4"/>
  <c r="H14" i="4"/>
  <c r="H13" i="4"/>
  <c r="D13" i="4"/>
  <c r="D14" i="4"/>
  <c r="E14" i="4"/>
  <c r="E13" i="4"/>
  <c r="F238" i="1"/>
  <c r="F231" i="1" s="1"/>
  <c r="F179" i="1" s="1"/>
  <c r="F261" i="1"/>
  <c r="F260" i="1" s="1"/>
  <c r="F792" i="1"/>
  <c r="F790" i="1" s="1"/>
  <c r="F250" i="1" l="1"/>
  <c r="F249" i="1" s="1"/>
  <c r="F835" i="1"/>
  <c r="F868" i="1" s="1"/>
  <c r="F832" i="1"/>
  <c r="F865" i="1" s="1"/>
  <c r="F833" i="1"/>
  <c r="F866" i="1" s="1"/>
  <c r="F838" i="1"/>
  <c r="F871" i="1" s="1"/>
  <c r="F840" i="1"/>
  <c r="F873" i="1" s="1"/>
  <c r="F837" i="1"/>
  <c r="F870" i="1" s="1"/>
  <c r="F834" i="1"/>
  <c r="F867" i="1" s="1"/>
  <c r="F839" i="1"/>
  <c r="F872" i="1" s="1"/>
  <c r="F836" i="1"/>
  <c r="F869" i="1" s="1"/>
  <c r="F532" i="1"/>
  <c r="F308" i="1"/>
  <c r="F330" i="1"/>
  <c r="F346" i="1" s="1"/>
  <c r="F289" i="1" l="1"/>
  <c r="F340" i="1"/>
  <c r="F324" i="1" s="1"/>
  <c r="F491" i="1"/>
  <c r="F490" i="1" s="1"/>
  <c r="F468" i="1"/>
  <c r="F461" i="1" s="1"/>
  <c r="F407" i="1" s="1"/>
  <c r="F480" i="1" l="1"/>
  <c r="F479" i="1" s="1"/>
  <c r="C9" i="4"/>
  <c r="C8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<sst xmlns="http://schemas.openxmlformats.org/spreadsheetml/2006/main" count="4691" uniqueCount="2478">
  <si>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</si>
  <si>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</si>
  <si>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</si>
  <si>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</si>
  <si>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</si>
  <si>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</si>
  <si>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</si>
  <si>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</si>
  <si>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</si>
  <si>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</si>
  <si>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</si>
  <si>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</si>
  <si>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</si>
  <si>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</si>
  <si>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</si>
  <si>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</si>
  <si>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</si>
  <si>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</si>
  <si>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</si>
  <si>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</si>
  <si>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</si>
  <si>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</si>
  <si>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</si>
  <si>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</si>
  <si>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</si>
  <si>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</si>
  <si>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</si>
  <si>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</si>
  <si>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</si>
  <si>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</si>
  <si>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</si>
  <si>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</si>
  <si>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</si>
  <si>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</si>
  <si>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</si>
  <si>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</si>
  <si>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</si>
  <si>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</si>
  <si>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</si>
  <si>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</si>
  <si>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</si>
  <si>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</si>
  <si>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</si>
  <si>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</si>
  <si>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</si>
  <si>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</si>
  <si>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</si>
  <si>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</si>
  <si>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</si>
  <si>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</si>
  <si>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</si>
  <si>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</si>
  <si>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</si>
  <si>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</si>
  <si>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</si>
  <si>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</si>
  <si>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</si>
  <si>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</si>
  <si>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</si>
  <si>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</si>
  <si>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</si>
  <si>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</si>
  <si>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</si>
  <si>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</si>
  <si>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</si>
  <si>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</si>
  <si>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</si>
  <si>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</si>
  <si>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</si>
  <si>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</si>
  <si>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</si>
  <si>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</si>
  <si>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</si>
  <si>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</si>
  <si>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</si>
  <si>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</si>
  <si>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</si>
  <si>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</si>
  <si>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</si>
  <si>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</si>
  <si>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</si>
  <si>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</si>
  <si>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</si>
  <si>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</si>
  <si>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</si>
  <si>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</si>
  <si>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</si>
  <si>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</si>
  <si>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</si>
  <si>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</si>
  <si>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</si>
  <si>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</si>
  <si>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</si>
  <si>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</si>
  <si>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</si>
  <si>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</si>
  <si>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</si>
  <si>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</si>
  <si>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</si>
  <si>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</si>
  <si>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</si>
  <si>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</si>
  <si>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</si>
  <si>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</si>
  <si>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</si>
  <si>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</si>
  <si>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</si>
  <si>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</si>
  <si>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</si>
  <si>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</si>
  <si>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</si>
  <si>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</si>
  <si>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</si>
  <si>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</si>
  <si>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</si>
  <si>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</si>
  <si>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</si>
  <si>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</si>
  <si>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</si>
  <si>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</si>
  <si>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</si>
  <si>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</si>
  <si>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</si>
  <si>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</si>
  <si>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</si>
  <si>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</si>
  <si>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</si>
  <si>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</si>
  <si>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</si>
  <si>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</si>
  <si>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</si>
  <si>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</si>
  <si>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</si>
  <si>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</si>
  <si>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</si>
  <si>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</si>
  <si>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</si>
  <si>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</si>
  <si>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</si>
  <si>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</si>
  <si>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</si>
  <si>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</si>
  <si>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</si>
  <si>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</si>
  <si>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</si>
  <si>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</si>
  <si>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</si>
  <si>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</si>
  <si>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</si>
  <si>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</si>
  <si>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</si>
  <si>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</si>
  <si>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</si>
  <si>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</si>
  <si>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</si>
  <si>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</si>
  <si>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</si>
  <si>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</si>
  <si>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</si>
  <si>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</si>
  <si>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</si>
  <si>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</si>
  <si>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</si>
  <si>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</si>
  <si>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</si>
  <si>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</si>
  <si>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</si>
  <si>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</si>
  <si>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</si>
  <si>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</si>
  <si>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</si>
  <si>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</si>
  <si>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</si>
  <si>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</si>
  <si>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</si>
  <si>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</si>
  <si>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</si>
  <si>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</si>
  <si>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</si>
  <si>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</si>
  <si>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</si>
  <si>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</si>
  <si>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</si>
  <si>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</si>
  <si>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</si>
  <si>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</si>
  <si>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</si>
  <si>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</si>
  <si>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</si>
  <si>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</si>
  <si>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</si>
  <si>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</si>
  <si>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</si>
  <si>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</si>
  <si>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</si>
  <si>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</si>
  <si>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</si>
  <si>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</si>
  <si>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</si>
  <si>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</si>
  <si>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</si>
  <si>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</si>
  <si>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</si>
  <si>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</si>
  <si>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</si>
  <si>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</si>
  <si>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</si>
  <si>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</si>
  <si>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</si>
  <si>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</si>
  <si>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</si>
  <si>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</si>
  <si>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</si>
  <si>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</si>
  <si>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</si>
  <si>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</si>
  <si>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</si>
  <si>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</si>
  <si>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</si>
  <si>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</si>
  <si>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</si>
  <si>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</si>
  <si>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</si>
  <si>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</si>
  <si>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</si>
  <si>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</si>
  <si>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</si>
  <si>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</si>
  <si>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</si>
  <si>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</si>
  <si>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</si>
  <si>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</si>
  <si>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</si>
  <si>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</si>
  <si>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</si>
  <si>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</si>
  <si>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</si>
  <si>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</si>
  <si>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</si>
  <si>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</si>
  <si>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</si>
  <si>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</si>
  <si>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</si>
  <si>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</si>
  <si>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</si>
  <si>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</si>
  <si>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</si>
  <si>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</si>
  <si>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</si>
  <si>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</si>
  <si>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</si>
  <si>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</si>
  <si>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</si>
  <si>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</si>
  <si>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</si>
  <si>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</si>
  <si>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</si>
  <si>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</si>
  <si>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</si>
  <si>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</si>
  <si>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</si>
  <si>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</si>
  <si>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</si>
  <si>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</si>
  <si>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</si>
  <si>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</si>
  <si>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</si>
  <si>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</si>
  <si>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</si>
  <si>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</si>
  <si>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</si>
  <si>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</si>
  <si>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</si>
  <si>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</si>
  <si>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</si>
  <si>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</si>
  <si>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</si>
  <si>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</si>
  <si>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</si>
  <si>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</si>
  <si>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</si>
  <si>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</si>
  <si>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</si>
  <si>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</si>
  <si>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</si>
  <si>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</si>
  <si>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</si>
  <si>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</si>
  <si>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</si>
  <si>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</si>
  <si>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</si>
  <si>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</si>
  <si>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</si>
  <si>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</si>
  <si>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</si>
  <si>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</si>
  <si>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</si>
  <si>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</si>
  <si>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</si>
  <si>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</si>
  <si>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</si>
  <si>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</si>
  <si>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</si>
  <si>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</si>
  <si>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</si>
  <si>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</si>
  <si>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</si>
  <si>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</si>
  <si>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</si>
  <si>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</si>
  <si>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</si>
  <si>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</si>
  <si>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</si>
  <si>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</si>
  <si>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</si>
  <si>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</si>
  <si>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</si>
  <si>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</si>
  <si>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</si>
  <si>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</si>
  <si>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</si>
  <si>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</si>
  <si>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</si>
  <si>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</si>
  <si>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</si>
  <si>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</si>
  <si>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</si>
  <si>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</si>
  <si>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</si>
  <si>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</si>
  <si>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</si>
  <si>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</si>
  <si>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</si>
  <si>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</si>
  <si>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</si>
  <si>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</si>
  <si>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</si>
  <si>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</si>
  <si>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</si>
  <si>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</si>
  <si>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</si>
  <si>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</si>
  <si>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</si>
  <si>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</si>
  <si>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</si>
  <si>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</si>
  <si>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</si>
  <si>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</si>
  <si>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</si>
  <si>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</si>
  <si>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</si>
  <si>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</si>
  <si>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</si>
  <si>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</si>
  <si>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</si>
  <si>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</si>
  <si>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</si>
  <si>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</si>
  <si>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</si>
  <si>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</si>
  <si>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</si>
  <si>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</si>
  <si>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</si>
  <si>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</si>
  <si>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</si>
  <si>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</si>
  <si>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</si>
  <si>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</si>
  <si>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</si>
  <si>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</si>
  <si>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</si>
  <si>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</si>
  <si>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</si>
  <si>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</si>
  <si>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</si>
  <si>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</si>
  <si>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</si>
  <si>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</si>
  <si>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</si>
  <si>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</si>
  <si>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</si>
  <si>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</si>
  <si>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</si>
  <si>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</si>
  <si>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</si>
  <si>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</si>
  <si>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</si>
  <si>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</si>
  <si>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</si>
  <si>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</si>
  <si>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</si>
  <si>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</si>
  <si>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</si>
  <si>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</si>
  <si>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</si>
  <si>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</si>
  <si>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</si>
  <si>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</si>
  <si>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</si>
  <si>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</si>
  <si>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</si>
  <si>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</si>
  <si>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</si>
  <si>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</si>
  <si>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</si>
  <si>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</si>
  <si>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</si>
  <si>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</si>
  <si>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</si>
  <si>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</si>
  <si>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</si>
  <si>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</si>
  <si>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</si>
  <si>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</si>
  <si>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</si>
  <si>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</si>
  <si>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</si>
  <si>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</si>
  <si>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</si>
  <si>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</si>
  <si>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</si>
  <si>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</si>
  <si>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</si>
  <si>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</si>
  <si>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</si>
  <si>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</si>
  <si>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</si>
  <si>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</si>
  <si>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</si>
  <si>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</si>
  <si>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</si>
  <si>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</si>
  <si>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</si>
  <si>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</si>
  <si>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</si>
  <si>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</si>
  <si>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</si>
  <si>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</si>
  <si>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</si>
  <si>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</si>
  <si>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</si>
  <si>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</si>
  <si>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</si>
  <si>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</si>
  <si>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</si>
  <si>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</si>
  <si>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</si>
  <si>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</si>
  <si>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</si>
  <si>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</si>
  <si>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</si>
  <si>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</si>
  <si>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</si>
  <si>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</si>
  <si>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</si>
  <si>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</si>
  <si>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</si>
  <si>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</si>
  <si>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</si>
  <si>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</si>
  <si>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</si>
  <si>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</si>
  <si>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</si>
  <si>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</si>
  <si>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</si>
  <si>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</si>
  <si>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</si>
  <si>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</si>
  <si>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</si>
  <si>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</si>
  <si>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</si>
  <si>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</si>
  <si>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</si>
  <si>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</si>
  <si>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</si>
  <si>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</si>
  <si>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</si>
  <si>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</si>
  <si>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</si>
  <si>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</si>
  <si>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</si>
  <si>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</si>
  <si>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</si>
  <si>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</si>
  <si>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</si>
  <si>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</si>
  <si>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</si>
  <si>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</si>
  <si>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</si>
  <si>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</si>
  <si>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</si>
  <si>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</si>
  <si>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</si>
  <si>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</si>
  <si>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</si>
  <si>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</si>
  <si>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</si>
  <si>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</si>
  <si>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</si>
  <si>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</si>
  <si>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</si>
  <si>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</si>
  <si>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</si>
  <si>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</si>
  <si>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</si>
  <si>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</si>
  <si>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</si>
  <si>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</si>
  <si>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</si>
  <si>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</si>
  <si>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</si>
  <si>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</si>
  <si>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</si>
  <si>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</si>
  <si>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</si>
  <si>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</si>
  <si>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</si>
  <si>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</si>
  <si>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</si>
  <si>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</si>
  <si>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</si>
  <si>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</si>
  <si>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</si>
  <si>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</si>
  <si>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</si>
  <si>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</si>
  <si>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</si>
  <si>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</si>
  <si>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</si>
  <si>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</si>
  <si>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</si>
  <si>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</si>
  <si>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</si>
  <si>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</si>
  <si>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</si>
  <si>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</si>
  <si>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</si>
  <si>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</si>
  <si>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</si>
  <si>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</si>
  <si>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</si>
  <si>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</si>
  <si>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</si>
  <si>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</si>
  <si>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</si>
  <si>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</si>
  <si>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</si>
  <si>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</si>
  <si>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</si>
  <si>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</si>
  <si>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</si>
  <si>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</si>
  <si>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</si>
  <si>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</si>
  <si>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</si>
  <si>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</si>
  <si>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</si>
  <si>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</si>
  <si>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</si>
  <si>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</si>
  <si>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</si>
  <si>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</si>
  <si>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</si>
  <si>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</si>
  <si>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</si>
  <si>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</si>
  <si>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</si>
  <si>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</si>
  <si>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</si>
  <si>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</si>
  <si>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</si>
  <si>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</si>
  <si>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</si>
  <si>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</si>
  <si>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</si>
  <si>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</si>
  <si>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</si>
  <si>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</si>
  <si>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</si>
  <si>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</si>
  <si>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</si>
  <si>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</si>
  <si>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</si>
  <si>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</si>
  <si>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</si>
  <si>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</si>
  <si>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</si>
  <si>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</si>
  <si>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</si>
  <si>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</si>
  <si>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</si>
  <si>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</si>
  <si>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</si>
  <si>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</si>
  <si>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</si>
  <si>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</si>
  <si>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</si>
  <si>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</si>
  <si>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</si>
  <si>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</si>
  <si>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</si>
  <si>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</si>
  <si>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</si>
  <si>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</si>
  <si>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</si>
  <si>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</si>
  <si>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</si>
  <si>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</si>
  <si>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</si>
  <si>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</si>
  <si>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</si>
  <si>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</si>
  <si>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</si>
  <si>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</si>
  <si>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</si>
  <si>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</si>
  <si>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</si>
  <si>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</si>
  <si>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</si>
  <si>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</si>
  <si>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</si>
  <si>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</si>
  <si>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</si>
  <si>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</si>
  <si>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</si>
  <si>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</si>
  <si>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</si>
  <si>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</si>
  <si>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</si>
  <si>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</si>
  <si>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</si>
  <si>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</si>
  <si>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</si>
  <si>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</si>
  <si>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</si>
  <si>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</si>
  <si>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</si>
  <si>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</si>
  <si>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</si>
  <si>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</si>
  <si>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</si>
  <si>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</si>
  <si>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</si>
  <si>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</si>
  <si>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</si>
  <si>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</si>
  <si>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</si>
  <si>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</si>
  <si>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</si>
  <si>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</si>
  <si>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</si>
  <si>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</si>
  <si>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</si>
  <si>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</si>
  <si>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</si>
  <si>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</si>
  <si>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</si>
  <si>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</si>
  <si>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</si>
  <si>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</si>
  <si>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</si>
  <si>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</si>
  <si>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</si>
  <si>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</si>
  <si>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</si>
  <si>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</si>
  <si>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</si>
  <si>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</si>
  <si>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</si>
  <si>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</si>
  <si>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</si>
  <si>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</si>
  <si>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</si>
  <si>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</si>
  <si>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</si>
  <si>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</si>
  <si>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</si>
  <si>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</si>
  <si>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</si>
  <si>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</si>
  <si>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</si>
  <si>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</si>
  <si>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</si>
  <si>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</si>
  <si>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</si>
  <si>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</si>
  <si>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</si>
  <si>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</si>
  <si>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</si>
  <si>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</si>
  <si>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</si>
  <si>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</si>
  <si>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</si>
  <si>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</si>
  <si>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</si>
  <si>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</si>
  <si>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</si>
  <si>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</si>
  <si>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</si>
  <si>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</si>
  <si>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</si>
  <si>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</si>
  <si>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</si>
  <si>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</si>
  <si>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</si>
  <si>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</si>
  <si>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</si>
  <si>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</si>
  <si>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</si>
  <si>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</si>
  <si>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</si>
  <si>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</si>
  <si>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</si>
  <si>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</si>
  <si>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</si>
  <si>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</si>
  <si>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</si>
  <si>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</si>
  <si>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</si>
  <si>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</si>
  <si>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</si>
  <si>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</si>
  <si>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</si>
  <si>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</si>
  <si>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</si>
  <si>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</si>
  <si>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</si>
  <si>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</si>
  <si>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</si>
  <si>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</si>
  <si>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</si>
  <si>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</si>
  <si>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</si>
  <si>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</si>
  <si>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</si>
  <si>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</si>
  <si>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</si>
  <si>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</si>
  <si>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</si>
  <si>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</si>
  <si>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</si>
  <si>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</si>
  <si>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</si>
  <si>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</si>
  <si>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</si>
  <si>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</si>
  <si>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</si>
  <si>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</si>
  <si>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</si>
  <si>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</si>
  <si>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</si>
  <si>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</si>
  <si>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</si>
  <si>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</si>
  <si>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</si>
  <si>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</si>
  <si>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</si>
  <si>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</si>
  <si>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</si>
  <si>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</si>
  <si>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</si>
  <si>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</si>
  <si>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</si>
  <si>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</si>
  <si>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</si>
  <si>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</si>
  <si>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</si>
  <si>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</si>
  <si>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</si>
  <si>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</si>
  <si>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</si>
  <si>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</si>
  <si>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</si>
  <si>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</si>
  <si>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</si>
  <si>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</si>
  <si>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</si>
  <si>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</si>
  <si>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</si>
  <si>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</si>
  <si>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</si>
  <si>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</si>
  <si>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</si>
  <si>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Imports|Oil|Synthetic liquids|PtL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</si>
  <si>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</si>
  <si>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</si>
  <si>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</si>
  <si>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</si>
  <si>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</si>
  <si>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</si>
  <si>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</si>
  <si>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</si>
  <si>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</si>
  <si>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</si>
  <si>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</si>
  <si>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</si>
  <si>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</si>
  <si>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</si>
  <si>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</si>
  <si>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</si>
  <si>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</si>
  <si>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</si>
  <si>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</si>
  <si>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</si>
  <si>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</si>
  <si>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</si>
  <si>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</si>
  <si>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</si>
  <si>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</si>
  <si>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</si>
  <si>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</si>
  <si>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</si>
  <si>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</si>
  <si>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</si>
  <si>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</si>
  <si>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</si>
  <si>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</si>
  <si>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</si>
  <si>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</si>
  <si>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</si>
  <si>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</si>
  <si>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</si>
  <si>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</si>
  <si>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</si>
  <si>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</si>
  <si>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</si>
  <si>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</si>
  <si>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</si>
  <si>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</si>
  <si>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</si>
  <si>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</si>
  <si>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</si>
  <si>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</si>
  <si>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</si>
  <si>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</si>
  <si>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</si>
  <si>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</si>
  <si>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</si>
  <si>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</si>
  <si>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</si>
  <si>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</si>
  <si>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</si>
  <si>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</si>
  <si>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</si>
  <si>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</si>
  <si>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</si>
  <si>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</si>
  <si>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</si>
  <si>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</si>
  <si>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</si>
  <si>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</si>
  <si>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</si>
  <si>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</si>
  <si>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</si>
  <si>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</si>
  <si>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</si>
  <si>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</si>
  <si>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</si>
  <si>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</si>
  <si>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</si>
  <si>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</si>
  <si>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</si>
  <si>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</si>
  <si>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</si>
  <si>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</si>
  <si>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</si>
  <si>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</si>
  <si>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</si>
  <si>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</si>
  <si>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</si>
  <si>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</si>
  <si>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</si>
  <si>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</si>
  <si>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</si>
  <si>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</si>
  <si>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</si>
  <si>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</si>
  <si>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</si>
  <si>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</si>
  <si>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</si>
  <si>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</si>
  <si>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</si>
  <si>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</si>
  <si>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</si>
  <si>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</si>
  <si>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</si>
  <si>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</si>
  <si>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</si>
  <si>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</si>
  <si>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</si>
  <si>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</si>
  <si>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</si>
  <si>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</si>
  <si>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</si>
  <si>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</si>
  <si>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</si>
  <si>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</si>
  <si>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</si>
  <si>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</si>
  <si>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</si>
  <si>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</si>
  <si>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</si>
  <si>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</si>
  <si>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</si>
  <si>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</si>
  <si>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</si>
  <si>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</si>
  <si>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</si>
  <si>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</si>
  <si>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</si>
  <si>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</si>
  <si>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</si>
  <si>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</si>
  <si>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</si>
  <si>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</si>
  <si>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</si>
  <si>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</si>
  <si>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</si>
  <si>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</si>
  <si>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</si>
  <si>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</si>
  <si>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</si>
  <si>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</si>
  <si>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</si>
  <si>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</si>
  <si>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</si>
  <si>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</si>
  <si>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</si>
  <si>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</si>
  <si>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</si>
  <si>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</si>
  <si>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</si>
  <si>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</si>
  <si>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</si>
  <si>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</si>
  <si>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</si>
  <si>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</si>
  <si>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</si>
  <si>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</si>
  <si>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</si>
  <si>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</si>
  <si>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</si>
  <si>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</si>
  <si>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</si>
  <si>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</si>
  <si>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</si>
  <si>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</si>
  <si>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</si>
  <si>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</si>
  <si>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</si>
  <si>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</si>
  <si>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</si>
  <si>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</si>
  <si>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</si>
  <si>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</si>
  <si>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</si>
  <si>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</si>
  <si>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</si>
  <si>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</si>
  <si>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</si>
  <si>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</si>
  <si>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</si>
  <si>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</si>
  <si>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</si>
  <si>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</si>
  <si>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</si>
  <si>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</si>
  <si>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</si>
  <si>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</si>
  <si>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</si>
  <si>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</si>
  <si>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</si>
  <si>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</si>
  <si>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</si>
  <si>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</si>
  <si>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</si>
  <si>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</si>
  <si>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</si>
  <si>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</si>
  <si>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</si>
  <si>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</si>
  <si>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</si>
  <si>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</si>
  <si>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</si>
  <si>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</si>
  <si>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</si>
  <si>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</si>
  <si>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</si>
  <si>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</si>
  <si>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</si>
  <si>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</si>
  <si>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</si>
  <si>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</si>
  <si>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</si>
  <si>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</si>
  <si>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</si>
  <si>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</si>
  <si>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</si>
  <si>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</si>
  <si>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</si>
  <si>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</si>
  <si>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</si>
  <si>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</si>
  <si>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</si>
  <si>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</si>
  <si>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</si>
  <si>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</si>
  <si>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</si>
  <si>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</si>
  <si>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</si>
  <si>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</si>
  <si>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</si>
  <si>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</si>
  <si>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</si>
  <si>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</si>
  <si>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</si>
  <si>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</si>
  <si>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</si>
  <si>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</si>
  <si>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</si>
  <si>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</si>
  <si>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</si>
  <si>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</si>
  <si>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</si>
  <si>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</si>
  <si>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</si>
  <si>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</si>
  <si>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</si>
  <si>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</si>
  <si>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</si>
  <si>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</si>
  <si>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</si>
  <si>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</si>
  <si>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</si>
  <si>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</si>
  <si>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</si>
  <si>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</si>
  <si>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</si>
  <si>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</si>
  <si>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</si>
  <si>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</si>
  <si>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</si>
  <si>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</si>
  <si>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</si>
  <si>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</si>
  <si>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</si>
  <si>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</si>
  <si>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</si>
  <si>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</si>
  <si>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</si>
  <si>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</si>
  <si>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</si>
  <si>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</si>
  <si>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</si>
  <si>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</si>
  <si>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</si>
  <si>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</si>
  <si>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</si>
  <si>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</si>
  <si>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</si>
  <si>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</si>
  <si>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</si>
  <si>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</si>
  <si>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</si>
  <si>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</si>
  <si>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</si>
  <si>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</si>
  <si>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</si>
  <si>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</si>
  <si>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</si>
  <si>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</si>
  <si>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</si>
  <si>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</si>
  <si>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</si>
  <si>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</si>
  <si>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</si>
  <si>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</si>
  <si>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</si>
  <si>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</si>
  <si>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</si>
  <si>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</si>
  <si>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</si>
  <si>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</si>
  <si>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</si>
  <si>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</si>
  <si>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</si>
  <si>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</si>
  <si>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</si>
  <si>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</si>
  <si>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</si>
  <si>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</si>
  <si>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</si>
  <si>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</si>
  <si>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</si>
  <si>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</si>
  <si>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</si>
  <si>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</si>
  <si>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</si>
  <si>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</si>
  <si>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</si>
  <si>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</si>
  <si>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</si>
  <si>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</si>
  <si>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</si>
  <si>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</si>
  <si>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</si>
  <si>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</si>
  <si>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</si>
  <si>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</si>
  <si>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</si>
  <si>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</si>
  <si>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</si>
  <si>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</si>
  <si>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</si>
  <si>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</si>
  <si>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</si>
  <si>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</si>
  <si>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</si>
  <si>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</si>
  <si>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</si>
  <si>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</si>
  <si>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</si>
  <si>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</si>
  <si>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</si>
  <si>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</si>
  <si>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</si>
  <si>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</si>
  <si>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</si>
  <si>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</si>
  <si>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</si>
  <si>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</si>
  <si>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</si>
  <si>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</si>
  <si>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</si>
  <si>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</si>
  <si>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</si>
  <si>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</si>
  <si>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</si>
  <si>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</si>
  <si>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</si>
  <si>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</si>
  <si>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</si>
  <si>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</si>
  <si>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</si>
  <si>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</si>
  <si>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</si>
  <si>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</si>
  <si>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</si>
  <si>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</si>
  <si>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</si>
  <si>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</si>
  <si>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</si>
  <si>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</si>
  <si>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</si>
  <si>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</si>
  <si>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</si>
  <si>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</si>
  <si>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</si>
  <si>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</si>
  <si>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</si>
  <si>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</si>
  <si>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</si>
  <si>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</si>
  <si>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</si>
  <si>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</si>
  <si>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</si>
  <si>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</si>
  <si>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</si>
  <si>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</si>
  <si>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</si>
  <si>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</si>
  <si>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</si>
  <si>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</si>
  <si>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</si>
  <si>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</si>
  <si>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</si>
  <si>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</si>
  <si>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</si>
  <si>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</si>
  <si>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</si>
  <si>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</si>
  <si>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</si>
  <si>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</si>
  <si>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</si>
  <si>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</si>
  <si>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</si>
  <si>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</si>
  <si>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</si>
  <si>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</si>
  <si>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</si>
  <si>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</si>
  <si>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</si>
  <si>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</si>
  <si>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</si>
  <si>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</si>
  <si>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</si>
  <si>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</si>
  <si>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</si>
  <si>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</si>
  <si>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</si>
  <si>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</si>
  <si>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</si>
  <si>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</si>
  <si>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</si>
  <si>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</si>
  <si>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</si>
  <si>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</si>
  <si>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</si>
  <si>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</si>
  <si>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</si>
  <si>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</si>
  <si>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</si>
  <si>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</si>
  <si>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</si>
  <si>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</si>
  <si>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</si>
  <si>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</si>
  <si>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</si>
  <si>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</si>
  <si>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</si>
  <si>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</si>
  <si>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</si>
  <si>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</si>
  <si>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</si>
  <si>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</si>
  <si>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</si>
  <si>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</si>
  <si>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</si>
  <si>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</si>
  <si>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</si>
  <si>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</si>
  <si>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</si>
  <si>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</si>
  <si>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</si>
  <si>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</si>
  <si>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</si>
  <si>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</si>
  <si>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</si>
  <si>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</si>
  <si>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</si>
  <si>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</si>
  <si>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</si>
  <si>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</si>
  <si>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</si>
  <si>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</si>
  <si>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</si>
  <si>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</si>
  <si>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</si>
  <si>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</si>
  <si>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</si>
  <si>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</si>
  <si>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</si>
  <si>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</si>
  <si>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</si>
  <si>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</si>
  <si>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</si>
  <si>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</si>
  <si>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</si>
  <si>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</si>
  <si>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</si>
  <si>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</si>
  <si>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</si>
  <si>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</si>
  <si>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</si>
  <si>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</si>
  <si>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</si>
  <si>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</si>
  <si>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</si>
  <si>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</si>
  <si>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</si>
  <si>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</si>
  <si>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</si>
  <si>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</si>
  <si>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</si>
  <si>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</si>
  <si>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</si>
  <si>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</si>
  <si>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</si>
  <si>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</si>
  <si>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</si>
  <si>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</si>
  <si>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</si>
  <si>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</si>
  <si>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</si>
  <si>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</si>
  <si>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</si>
  <si>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</si>
  <si>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</si>
  <si>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</si>
  <si>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</si>
  <si>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</si>
  <si>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</si>
  <si>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</si>
  <si>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</si>
  <si>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</si>
  <si>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</si>
  <si>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</si>
  <si>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</si>
  <si>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</si>
  <si>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</si>
  <si>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</si>
  <si>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</si>
  <si>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</si>
  <si>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</si>
  <si>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</si>
  <si>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</si>
  <si>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</si>
  <si>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</si>
  <si>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</si>
  <si>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</si>
  <si>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</si>
  <si>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</si>
  <si>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</si>
  <si>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</si>
  <si>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</si>
  <si>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</si>
  <si>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</si>
  <si>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</si>
  <si>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</si>
  <si>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</si>
  <si>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</si>
  <si>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</si>
  <si>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</si>
  <si>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</si>
  <si>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</si>
  <si>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</si>
  <si>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</si>
  <si>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</si>
  <si>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</si>
  <si>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</si>
  <si>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</si>
  <si>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</si>
  <si>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</si>
  <si>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</si>
  <si>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</si>
  <si>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</si>
  <si>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</si>
  <si>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</si>
  <si>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</si>
  <si>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</si>
  <si>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</si>
  <si>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</si>
  <si>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</si>
  <si>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</si>
  <si>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</si>
  <si>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</si>
  <si>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</si>
  <si>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</si>
  <si>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</si>
  <si>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</si>
  <si>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</si>
  <si>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</si>
  <si>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</si>
  <si>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</si>
  <si>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</si>
  <si>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</si>
  <si>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</si>
  <si>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</si>
  <si>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</si>
  <si>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</si>
  <si>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</si>
  <si>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</si>
  <si>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</si>
  <si>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</si>
  <si>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</si>
  <si>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</si>
  <si>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</si>
  <si>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</si>
  <si>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</si>
  <si>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</si>
  <si>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</si>
  <si>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</si>
  <si>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</si>
  <si>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</si>
  <si>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</si>
  <si>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</si>
  <si>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</si>
  <si>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</si>
  <si>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</si>
  <si>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</si>
  <si>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</si>
  <si>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</si>
  <si>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</si>
  <si>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</si>
  <si>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</si>
  <si>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</si>
  <si>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</si>
  <si>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</si>
  <si>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</si>
  <si>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</si>
  <si>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</si>
  <si>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</si>
  <si>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</si>
  <si>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</si>
  <si>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</si>
  <si>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</si>
  <si>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</si>
  <si>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</si>
  <si>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</si>
  <si>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</si>
  <si>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</si>
  <si>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</si>
  <si>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</si>
  <si>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</si>
  <si>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</si>
  <si>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</si>
  <si>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</si>
  <si>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</si>
  <si>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</si>
  <si>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</si>
  <si>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</si>
  <si>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</si>
  <si>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</si>
  <si>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</si>
  <si>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</si>
  <si>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</si>
  <si>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</si>
  <si>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</si>
  <si>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</si>
  <si>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</si>
  <si>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</si>
  <si>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</si>
  <si>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</si>
  <si>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</si>
  <si>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</si>
  <si>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</si>
  <si>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</si>
  <si>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</si>
  <si>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</si>
  <si>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</si>
  <si>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</si>
  <si>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</si>
  <si>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</si>
  <si>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</si>
  <si>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</si>
  <si>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</si>
  <si>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</si>
  <si>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</si>
  <si>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</si>
  <si>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</si>
  <si>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</si>
  <si>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</si>
  <si>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</si>
  <si>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</si>
  <si>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</si>
  <si>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</si>
  <si>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</si>
  <si>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</si>
  <si>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</si>
  <si>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</si>
  <si>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</si>
  <si>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</si>
  <si>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</si>
  <si>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</si>
  <si>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</si>
  <si>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</si>
  <si>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</si>
  <si>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</si>
  <si>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</si>
  <si>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</si>
  <si>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</si>
  <si>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</si>
  <si>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</si>
  <si>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</si>
  <si>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</si>
  <si>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</si>
  <si>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</si>
  <si>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</si>
  <si>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</si>
  <si>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</si>
  <si>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</si>
  <si>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</si>
  <si>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</si>
  <si>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</si>
  <si>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</si>
  <si>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</si>
  <si>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</si>
  <si>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</si>
  <si>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</si>
  <si>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</si>
  <si>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</si>
  <si>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</si>
  <si>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</si>
  <si>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</si>
  <si>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</si>
  <si>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</si>
  <si>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</si>
  <si>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</si>
  <si>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</si>
  <si>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</si>
  <si>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</si>
  <si>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</si>
  <si>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</si>
  <si>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</si>
  <si>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</si>
  <si>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</si>
  <si>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</si>
  <si>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</si>
  <si>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</si>
  <si>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</si>
  <si>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</si>
  <si>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</si>
  <si>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</si>
  <si>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</si>
  <si>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</si>
  <si>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</si>
  <si>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</si>
  <si>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</si>
  <si>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</si>
  <si>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</si>
  <si>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</si>
  <si>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</si>
  <si>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</si>
  <si>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</si>
  <si>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</si>
  <si>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</si>
  <si>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</si>
  <si>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</si>
  <si>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</si>
  <si>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</si>
  <si>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</si>
  <si>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</si>
  <si>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</si>
  <si>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</si>
  <si>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</si>
  <si>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</si>
  <si>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</si>
  <si>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</si>
  <si>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</si>
  <si>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</si>
  <si>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</si>
  <si>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</si>
  <si>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</si>
  <si>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</si>
  <si>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</si>
  <si>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</si>
  <si>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</si>
  <si>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</si>
  <si>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</si>
  <si>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</si>
  <si>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</si>
  <si>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</si>
  <si>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</si>
  <si>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</si>
  <si>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</si>
  <si>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</si>
  <si>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</si>
  <si>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</si>
  <si>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</si>
  <si>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</si>
  <si>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</si>
  <si>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</si>
  <si>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</si>
  <si>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</si>
  <si>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</si>
  <si>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</si>
  <si>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</si>
  <si>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</si>
  <si>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</si>
  <si>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</si>
  <si>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</si>
  <si>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</si>
  <si>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</si>
  <si>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</si>
  <si>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</si>
  <si>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</si>
  <si>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</si>
  <si>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</si>
  <si>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</si>
  <si>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</si>
  <si>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</si>
  <si>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</si>
  <si>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</si>
  <si>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</si>
  <si>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</si>
  <si>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</si>
  <si>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</si>
  <si>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</si>
  <si>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</si>
  <si>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</si>
  <si>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</si>
  <si>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</si>
  <si>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</si>
  <si>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</si>
  <si>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</si>
  <si>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</si>
  <si>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</si>
  <si>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</si>
  <si>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</si>
  <si>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</si>
  <si>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</si>
  <si>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</si>
  <si>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</si>
  <si>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</si>
  <si>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</si>
  <si>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</si>
  <si>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</si>
  <si>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</si>
  <si>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</si>
  <si>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</si>
  <si>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</si>
  <si>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</si>
  <si>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</si>
  <si>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</si>
  <si>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</si>
  <si>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</si>
  <si>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</si>
  <si>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</si>
  <si>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</si>
  <si>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</si>
  <si>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</si>
  <si>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</si>
  <si>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</si>
  <si>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</si>
  <si>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</si>
  <si>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</si>
  <si>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</si>
  <si>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</si>
  <si>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</si>
  <si>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</si>
  <si>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</si>
  <si>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</si>
  <si>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</si>
  <si>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</si>
  <si>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</si>
  <si>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</si>
  <si>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</si>
  <si>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</si>
  <si>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</si>
  <si>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</si>
  <si>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</si>
  <si>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</si>
  <si>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</si>
  <si>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</si>
  <si>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</si>
  <si>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</si>
  <si>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</si>
  <si>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</si>
  <si>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</si>
  <si>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</si>
  <si>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</si>
  <si>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</si>
  <si>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</si>
  <si>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</si>
  <si>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</si>
  <si>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</si>
  <si>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</si>
  <si>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</si>
  <si>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</si>
  <si>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</si>
  <si>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</si>
  <si>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</si>
  <si>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</si>
  <si>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</si>
  <si>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</si>
  <si>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</si>
  <si>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</si>
  <si>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</si>
  <si>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</si>
  <si>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</si>
  <si>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</si>
  <si>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</si>
  <si>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</si>
  <si>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</si>
  <si>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</si>
  <si>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</si>
  <si>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</si>
  <si>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</si>
  <si>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</si>
  <si>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</si>
  <si>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</si>
  <si>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</si>
  <si>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</si>
  <si>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</si>
  <si>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</si>
  <si>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</si>
  <si>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</si>
  <si>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</si>
  <si>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</si>
  <si>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</si>
  <si>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</si>
  <si>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</si>
  <si>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</si>
  <si>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</si>
  <si>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</si>
  <si>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</si>
  <si>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</si>
  <si>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</si>
  <si>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</si>
  <si>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</si>
  <si>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</si>
  <si>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</si>
  <si>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</si>
  <si>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</si>
  <si>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</si>
  <si>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</si>
  <si>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</si>
  <si>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</si>
  <si>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</si>
  <si>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</si>
  <si>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</si>
  <si>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</si>
  <si>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</si>
  <si>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</si>
  <si>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</si>
  <si>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</si>
  <si>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</si>
  <si>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</si>
  <si>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</si>
  <si>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</si>
  <si>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</si>
  <si>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</si>
  <si>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</si>
  <si>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</si>
  <si>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</si>
  <si>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</si>
  <si>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</si>
  <si>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</si>
  <si>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</si>
  <si>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</si>
  <si>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</si>
  <si>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</si>
  <si>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</si>
  <si>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</si>
  <si>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</si>
  <si>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</si>
  <si>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</si>
  <si>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</si>
  <si>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</si>
  <si>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</si>
  <si>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</si>
  <si>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</si>
  <si>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</si>
  <si>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</si>
  <si>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</si>
  <si>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</si>
  <si>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</si>
  <si>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</si>
  <si>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</si>
  <si>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</si>
  <si>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</si>
  <si>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</si>
  <si>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</si>
  <si>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</si>
  <si>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</si>
  <si>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</si>
  <si>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</si>
  <si>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</si>
  <si>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</si>
  <si>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</si>
  <si>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</si>
  <si>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</si>
  <si>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</si>
  <si>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</si>
  <si>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</si>
  <si>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</si>
  <si>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</si>
  <si>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</si>
  <si>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</si>
  <si>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</si>
  <si>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</si>
  <si>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</si>
  <si>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</si>
  <si>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</si>
  <si>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</si>
  <si>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</si>
  <si>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</si>
  <si>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</si>
  <si>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</si>
  <si>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</si>
  <si>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</si>
  <si>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</si>
  <si>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</si>
  <si>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</si>
  <si>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</si>
  <si>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</si>
  <si>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</si>
  <si>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</si>
  <si>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</si>
  <si>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</si>
  <si>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</si>
  <si>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</si>
  <si>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</si>
  <si>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</si>
  <si>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</si>
  <si>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</si>
  <si>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</si>
  <si>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</si>
  <si>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</si>
  <si>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</si>
  <si>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</si>
  <si>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</si>
  <si>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</si>
  <si>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</si>
  <si>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</si>
  <si>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</si>
  <si>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</si>
  <si>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</si>
  <si>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</si>
  <si>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</si>
  <si>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</si>
  <si>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</si>
  <si>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</si>
  <si>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</si>
  <si>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</si>
  <si>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</si>
  <si>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</si>
  <si>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</si>
  <si>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</si>
  <si>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</si>
  <si>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</si>
  <si>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</si>
  <si>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</si>
  <si>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</si>
  <si>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</si>
  <si>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</si>
  <si>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</si>
  <si>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</si>
  <si>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</si>
  <si>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</si>
  <si>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</si>
  <si>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</si>
  <si>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</si>
  <si>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</si>
  <si>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</si>
  <si>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</si>
  <si>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</si>
  <si>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</si>
  <si>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</si>
  <si>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</si>
  <si>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</si>
  <si>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</si>
  <si>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</si>
  <si>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</si>
  <si>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</si>
  <si>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</si>
  <si>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</si>
  <si>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</si>
  <si>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</si>
  <si>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</si>
  <si>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</si>
  <si>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</si>
  <si>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</si>
  <si>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</si>
  <si>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</si>
  <si>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</si>
  <si>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</si>
  <si>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</si>
  <si>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</si>
  <si>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</si>
  <si>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</si>
  <si>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</si>
  <si>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</si>
  <si>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</si>
  <si>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</si>
  <si>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</si>
  <si>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</si>
  <si>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</si>
  <si>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</si>
  <si>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</si>
  <si>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</si>
  <si>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</si>
  <si>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</si>
  <si>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</si>
  <si>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</si>
  <si>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</si>
  <si>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</si>
  <si>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</si>
  <si>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</si>
  <si>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</si>
  <si>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</si>
  <si>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</si>
  <si>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</si>
  <si>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</si>
  <si>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</si>
  <si>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</si>
  <si>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</si>
  <si>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</si>
  <si>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</si>
  <si>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</si>
  <si>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</si>
  <si>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</si>
  <si>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</si>
  <si>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</si>
  <si>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</si>
  <si>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</si>
  <si>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</si>
  <si>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</si>
  <si>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</si>
  <si>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</si>
  <si>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</si>
  <si>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</si>
  <si>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</si>
  <si>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</si>
  <si>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</si>
  <si>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</si>
  <si>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</si>
  <si>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</si>
  <si>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</si>
  <si>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</si>
  <si>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</si>
  <si>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</si>
  <si>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</si>
  <si>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</si>
  <si>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</si>
  <si>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</si>
  <si>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</si>
  <si>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</si>
  <si>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</si>
  <si>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</si>
  <si>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</si>
  <si>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</si>
  <si>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</si>
  <si>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</si>
  <si>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</si>
  <si>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</si>
  <si>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</si>
  <si>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</si>
  <si>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</si>
  <si>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</si>
  <si>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</si>
  <si>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</si>
  <si>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</si>
  <si>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</si>
  <si>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</si>
  <si>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</si>
  <si>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</si>
  <si>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</si>
  <si>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</si>
  <si>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</si>
  <si>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</si>
  <si>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</si>
  <si>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</si>
  <si>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</si>
  <si>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</si>
  <si>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</si>
  <si>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</si>
  <si>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</si>
  <si>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</si>
  <si>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</si>
  <si>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</si>
  <si>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</si>
  <si>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</si>
  <si>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</si>
  <si>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</si>
  <si>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</si>
  <si>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</si>
  <si>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</si>
  <si>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</si>
  <si>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</si>
  <si>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</si>
  <si>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</si>
  <si>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</si>
  <si>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</si>
  <si>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</si>
  <si>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</si>
  <si>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</si>
  <si>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</si>
  <si>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</si>
  <si>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</si>
  <si>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</si>
  <si>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</si>
  <si>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</si>
  <si>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</si>
  <si>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</si>
  <si>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</si>
  <si>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</si>
  <si>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</si>
  <si>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</si>
  <si>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</si>
  <si>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</si>
  <si>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</si>
  <si>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</si>
  <si>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</si>
  <si>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</si>
  <si>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</si>
  <si>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</si>
  <si>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</si>
  <si>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</si>
  <si>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</si>
  <si>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</si>
  <si>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</si>
  <si>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</si>
  <si>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</si>
  <si>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</si>
  <si>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</si>
  <si>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</si>
  <si>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</si>
  <si>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</si>
  <si>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</si>
  <si>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</si>
  <si>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</si>
  <si>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</si>
  <si>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</si>
  <si>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</si>
  <si>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</si>
  <si>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</si>
  <si>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</si>
  <si>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</si>
  <si>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</si>
  <si>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</si>
  <si>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</si>
  <si>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</si>
  <si>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</si>
  <si>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</si>
  <si>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</si>
  <si>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</si>
  <si>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</si>
  <si>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</si>
  <si>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</si>
  <si>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</si>
  <si>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</si>
  <si>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</si>
  <si>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</si>
  <si>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</si>
  <si>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</si>
  <si>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</si>
  <si>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</si>
  <si>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</si>
  <si>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</si>
  <si>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</si>
  <si>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</si>
  <si>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</si>
  <si>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</si>
  <si>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</si>
  <si>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</si>
  <si>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</si>
  <si>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</si>
  <si>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</si>
  <si>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</si>
  <si>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</si>
  <si>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</si>
  <si>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</si>
  <si>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</si>
  <si>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</si>
  <si>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</si>
  <si>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</si>
  <si>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</si>
  <si>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</si>
  <si>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</si>
  <si>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</si>
  <si>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</si>
  <si>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</si>
  <si>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</si>
  <si>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</si>
  <si>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</si>
  <si>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</si>
  <si>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</si>
  <si>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</si>
  <si>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</si>
  <si>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</si>
  <si>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</si>
  <si>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</si>
  <si>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</si>
  <si>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</si>
  <si>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</si>
  <si>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</si>
  <si>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</si>
  <si>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</si>
  <si>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</si>
  <si>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</si>
  <si>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</si>
  <si>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</si>
  <si>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</si>
  <si>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</si>
  <si>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</si>
  <si>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</si>
  <si>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</si>
  <si>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</si>
  <si>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</si>
  <si>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</si>
  <si>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</si>
  <si>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</si>
  <si>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</si>
  <si>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</si>
  <si>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</si>
  <si>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</si>
  <si>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</si>
  <si>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</si>
  <si>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</si>
  <si>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</si>
  <si>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</si>
  <si>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</si>
  <si>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</si>
  <si>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</si>
  <si>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</si>
  <si>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</si>
  <si>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</si>
  <si>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</si>
  <si>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</si>
  <si>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</si>
  <si>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</si>
  <si>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</si>
  <si>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</si>
  <si>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</si>
  <si>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</si>
  <si>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</si>
  <si>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</si>
  <si>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</si>
  <si>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</si>
  <si>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</si>
  <si>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</si>
  <si>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</si>
  <si>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</si>
  <si>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</si>
  <si>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</si>
  <si>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</si>
  <si>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</si>
  <si>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</si>
  <si>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</si>
  <si>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</si>
  <si>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</si>
  <si>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</si>
  <si>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</si>
  <si>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</si>
  <si>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</si>
  <si>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</si>
  <si>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</si>
  <si>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</si>
  <si>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</si>
  <si>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</si>
  <si>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</si>
  <si>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</si>
  <si>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</si>
  <si>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</si>
  <si>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</si>
  <si>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</si>
  <si>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</si>
  <si>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</si>
  <si>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</si>
  <si>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</si>
  <si>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</si>
  <si>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</si>
  <si>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</si>
  <si>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</si>
  <si>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</si>
  <si>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</si>
  <si>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</si>
  <si>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</si>
  <si>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</si>
  <si>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</si>
  <si>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</si>
  <si>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</si>
  <si>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</si>
  <si>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</si>
  <si>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</si>
  <si>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</si>
  <si>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</si>
  <si>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</si>
  <si>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</si>
  <si>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</si>
  <si>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</si>
  <si>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</si>
  <si>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</si>
  <si>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</si>
  <si>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</si>
  <si>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</si>
  <si>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</si>
  <si>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</si>
  <si>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</si>
  <si>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</si>
  <si>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</si>
  <si>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</si>
  <si>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</si>
  <si>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</si>
  <si>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</si>
  <si>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</si>
  <si>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</si>
  <si>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</si>
  <si>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</si>
  <si>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</si>
  <si>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</si>
  <si>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</si>
  <si>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</si>
  <si>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</si>
  <si>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</si>
  <si>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</si>
  <si>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</si>
  <si>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</si>
  <si>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SPS3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</si>
  <si>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</si>
  <si>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</si>
  <si>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Cars stock additions additions</t>
  </si>
  <si>
    <t>New car registrations - the number in a year is cummulative registrations for the period represented under this year</t>
  </si>
  <si>
    <t>Urban buses stock additions</t>
  </si>
  <si>
    <t>New urban buses registrations - the number in a year is cummulative registrations for the period represented under this year</t>
  </si>
  <si>
    <t>Coaches stock additions</t>
  </si>
  <si>
    <t>New coaches registrations - the number in a year is cummulative registrations for the period represented under this year</t>
  </si>
  <si>
    <t>Light duty vehicles stock additions</t>
  </si>
  <si>
    <t>New light duty vehicle registrations - the number in a year is cummulative registrations for the period represented under this year</t>
  </si>
  <si>
    <t>Heavy duty vehicles stock additions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</si>
  <si>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</si>
  <si>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</si>
  <si>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Newly installed capacity  - the capacity additions are reported for the whole period represented under the milestone year</t>
  </si>
  <si>
    <t>Process and space heating capacity additions in industry sectors</t>
  </si>
  <si>
    <t>Space water and process heat boiler capacity additions in Services sectors</t>
  </si>
  <si>
    <t>Domestic hydrogen production capacity additions</t>
  </si>
  <si>
    <t>Other fuel synthesis capacity additions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</si>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</sst>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P07%20integrated%20modelling/STEM_Results/sps3_users_b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</row>
        <row r="2">
          <cell r="B2"/>
          <cell r="C2"/>
          <cell r="D2"/>
          <cell r="E2"/>
          <cell r="F2"/>
          <cell r="G2"/>
          <cell r="H2"/>
          <cell r="I2"/>
          <cell r="J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EHYD-DAM15</v>
          </cell>
          <cell r="C4" t="str">
            <v>VAR_fout</v>
          </cell>
          <cell r="D4" t="str">
            <v>ELC</v>
          </cell>
          <cell r="F4">
            <v>1.1539700768223643E-2</v>
          </cell>
          <cell r="G4">
            <v>1.4191824591981957E-2</v>
          </cell>
          <cell r="H4">
            <v>1.4290081662085667E-2</v>
          </cell>
          <cell r="I4">
            <v>1.4994316130492378E-2</v>
          </cell>
          <cell r="J4">
            <v>2.7089791349498475</v>
          </cell>
        </row>
        <row r="5">
          <cell r="B5" t="str">
            <v>EHYD-DAM15</v>
          </cell>
          <cell r="C5" t="str">
            <v>VAR_fin</v>
          </cell>
          <cell r="D5" t="str">
            <v>HYDD</v>
          </cell>
          <cell r="F5">
            <v>1.1539700768223643E-2</v>
          </cell>
          <cell r="G5">
            <v>1.4191824591981957E-2</v>
          </cell>
          <cell r="H5">
            <v>1.4290081662085667E-2</v>
          </cell>
          <cell r="I5">
            <v>1.4994316130492378E-2</v>
          </cell>
          <cell r="J5">
            <v>2.7089791349498475</v>
          </cell>
        </row>
        <row r="6">
          <cell r="B6" t="str">
            <v>EHYD-DAM15</v>
          </cell>
          <cell r="C6" t="str">
            <v>VAR_ncap</v>
          </cell>
          <cell r="D6" t="str">
            <v>-</v>
          </cell>
          <cell r="F6">
            <v>1.5155204654859599E-3</v>
          </cell>
          <cell r="G6">
            <v>4.0509952895985397E-6</v>
          </cell>
          <cell r="H6">
            <v>3.3111447937732002E-6</v>
          </cell>
          <cell r="I6">
            <v>0.153099551189366</v>
          </cell>
          <cell r="J6">
            <v>0.51105308949539896</v>
          </cell>
        </row>
        <row r="7">
          <cell r="B7" t="str">
            <v>EHYD-DAM15</v>
          </cell>
          <cell r="C7" t="str">
            <v>VAR_cap</v>
          </cell>
          <cell r="D7" t="str">
            <v>-</v>
          </cell>
          <cell r="F7">
            <v>1.5155204654859599E-3</v>
          </cell>
          <cell r="G7">
            <v>1.5155204654859599E-3</v>
          </cell>
          <cell r="H7">
            <v>1.5155204654859599E-3</v>
          </cell>
          <cell r="I7">
            <v>1.5228826055693301E-3</v>
          </cell>
          <cell r="J7">
            <v>0.31392392266650399</v>
          </cell>
        </row>
        <row r="8">
          <cell r="B8" t="str">
            <v>D-RPLT</v>
          </cell>
          <cell r="C8" t="str">
            <v>VAR_fout</v>
          </cell>
          <cell r="D8" t="str">
            <v>RPLT</v>
          </cell>
          <cell r="E8">
            <v>3.2682989478393263</v>
          </cell>
          <cell r="F8">
            <v>3.8320269955788282</v>
          </cell>
          <cell r="G8">
            <v>0.34699567024583272</v>
          </cell>
          <cell r="H8">
            <v>0.30048831488650779</v>
          </cell>
          <cell r="I8">
            <v>0.17877929749712504</v>
          </cell>
          <cell r="J8">
            <v>6.6356228180330198E-2</v>
          </cell>
        </row>
        <row r="9">
          <cell r="B9" t="str">
            <v>D-RPLT</v>
          </cell>
          <cell r="C9" t="str">
            <v>VAR_fin</v>
          </cell>
          <cell r="D9" t="str">
            <v>PLT</v>
          </cell>
          <cell r="E9">
            <v>3.2682989478393263</v>
          </cell>
          <cell r="F9">
            <v>3.8320269955788282</v>
          </cell>
          <cell r="G9">
            <v>0.34699567024583272</v>
          </cell>
          <cell r="H9">
            <v>0.30048831488650779</v>
          </cell>
          <cell r="I9">
            <v>0.17877929749712504</v>
          </cell>
          <cell r="J9">
            <v>6.6356228180330198E-2</v>
          </cell>
        </row>
        <row r="10">
          <cell r="B10" t="str">
            <v>ITOT-CHPNGA</v>
          </cell>
          <cell r="C10" t="str">
            <v>VAR_fout</v>
          </cell>
          <cell r="D10" t="str">
            <v>ITOT_NKEV_GAS_ELC_CHP</v>
          </cell>
          <cell r="E10">
            <v>0.6700127087044967</v>
          </cell>
          <cell r="F10">
            <v>0.51810653251779359</v>
          </cell>
          <cell r="G10">
            <v>5.241529872141272E-2</v>
          </cell>
          <cell r="H10">
            <v>2.474696725184317E-2</v>
          </cell>
          <cell r="I10">
            <v>5.4499546885389246E-3</v>
          </cell>
          <cell r="J10">
            <v>7.9283326579225859E-4</v>
          </cell>
        </row>
        <row r="11">
          <cell r="B11" t="str">
            <v>ITOT-CHPNGA</v>
          </cell>
          <cell r="C11" t="str">
            <v>VAR_fout</v>
          </cell>
          <cell r="D11" t="str">
            <v>ITOT_LTH_CHP</v>
          </cell>
          <cell r="E11">
            <v>2.0851742091205279</v>
          </cell>
          <cell r="F11">
            <v>1.5098598201031728</v>
          </cell>
          <cell r="G11">
            <v>0.13718435908859083</v>
          </cell>
          <cell r="H11">
            <v>5.2522336916102801E-2</v>
          </cell>
          <cell r="I11">
            <v>6.1726628082061008E-3</v>
          </cell>
          <cell r="J11">
            <v>8.7628939903355147E-4</v>
          </cell>
        </row>
        <row r="12">
          <cell r="B12" t="str">
            <v>ITOT-CHPNGA</v>
          </cell>
          <cell r="C12" t="str">
            <v>VAR_fout</v>
          </cell>
          <cell r="D12" t="str">
            <v>CO2_I</v>
          </cell>
          <cell r="E12">
            <v>108.979826620834</v>
          </cell>
          <cell r="F12">
            <v>83.027943330029203</v>
          </cell>
          <cell r="G12">
            <v>8.6530338500877306</v>
          </cell>
          <cell r="H12">
            <v>3.8810169759888198</v>
          </cell>
          <cell r="I12">
            <v>0.85719330611699496</v>
          </cell>
          <cell r="J12">
            <v>0.13289411250334801</v>
          </cell>
        </row>
        <row r="13">
          <cell r="B13" t="str">
            <v>ITOT-CHPNGA</v>
          </cell>
          <cell r="C13" t="str">
            <v>VAR_fin</v>
          </cell>
          <cell r="D13" t="str">
            <v>INGA</v>
          </cell>
          <cell r="E13">
            <v>1.9322664294474021</v>
          </cell>
          <cell r="F13">
            <v>1.4721266547877514</v>
          </cell>
          <cell r="G13">
            <v>0.15342258599446348</v>
          </cell>
          <cell r="H13">
            <v>6.8812357730298326E-2</v>
          </cell>
          <cell r="I13">
            <v>1.519846287441479E-2</v>
          </cell>
          <cell r="J13">
            <v>2.3562785904848956E-3</v>
          </cell>
        </row>
        <row r="14">
          <cell r="B14" t="str">
            <v>ITOT-CHPNGA</v>
          </cell>
          <cell r="C14" t="str">
            <v>VAR_ncap</v>
          </cell>
          <cell r="D14" t="str">
            <v>-</v>
          </cell>
          <cell r="F14">
            <v>1.04156438285341E-5</v>
          </cell>
          <cell r="G14">
            <v>1.36760145860801E-5</v>
          </cell>
          <cell r="H14">
            <v>2.0900504771199902E-3</v>
          </cell>
          <cell r="I14">
            <v>8.0678162352263604E-7</v>
          </cell>
          <cell r="J14">
            <v>1.3772528066328499E-6</v>
          </cell>
        </row>
        <row r="15">
          <cell r="B15" t="str">
            <v>ITOT-CHPNGA</v>
          </cell>
          <cell r="C15" t="str">
            <v>VAR_cap</v>
          </cell>
          <cell r="D15" t="str">
            <v>-</v>
          </cell>
          <cell r="E15">
            <v>2.6323929641722504E-2</v>
          </cell>
          <cell r="F15">
            <v>1.9497317432681932E-2</v>
          </cell>
          <cell r="G15">
            <v>1.2460011987398316E-2</v>
          </cell>
          <cell r="H15">
            <v>5.8850052372145991E-3</v>
          </cell>
          <cell r="I15">
            <v>1.2940977463535E-3</v>
          </cell>
          <cell r="J15">
            <v>1.8808115306320891E-4</v>
          </cell>
        </row>
        <row r="16">
          <cell r="B16" t="str">
            <v>G-INTC-IMP00-IT</v>
          </cell>
          <cell r="C16" t="str">
            <v>VAR_fout</v>
          </cell>
          <cell r="D16" t="str">
            <v>ELC</v>
          </cell>
          <cell r="E16">
            <v>6.7991047165897394</v>
          </cell>
          <cell r="F16">
            <v>1.1635090763049468E-3</v>
          </cell>
          <cell r="G16">
            <v>1.0169960093431266E-3</v>
          </cell>
          <cell r="H16">
            <v>4.8772605815983698E-4</v>
          </cell>
          <cell r="I16">
            <v>6.8283144621202572E-4</v>
          </cell>
          <cell r="J16">
            <v>3.4242574119387395E-4</v>
          </cell>
        </row>
        <row r="17">
          <cell r="B17" t="str">
            <v>G-INTC-IMP00-IT</v>
          </cell>
          <cell r="C17" t="str">
            <v>VAR_fin</v>
          </cell>
          <cell r="D17" t="str">
            <v>ELC_I-IT</v>
          </cell>
          <cell r="E17">
            <v>6.7991047165897394</v>
          </cell>
          <cell r="F17">
            <v>1.1635090763049468E-3</v>
          </cell>
          <cell r="G17">
            <v>1.0169960093431266E-3</v>
          </cell>
          <cell r="H17">
            <v>4.8772605815983698E-4</v>
          </cell>
          <cell r="I17">
            <v>6.8283144621202572E-4</v>
          </cell>
          <cell r="J17">
            <v>3.4242574119387395E-4</v>
          </cell>
        </row>
        <row r="18">
          <cell r="B18" t="str">
            <v>G-INTC-IMP00-IT</v>
          </cell>
          <cell r="C18" t="str">
            <v>VAR_ncap</v>
          </cell>
          <cell r="D18" t="str">
            <v>-</v>
          </cell>
          <cell r="E18">
            <v>2.93237818652194E-7</v>
          </cell>
          <cell r="F18">
            <v>2.3484791372284901E-7</v>
          </cell>
          <cell r="G18">
            <v>2.1458626540824801E-7</v>
          </cell>
          <cell r="H18">
            <v>2.1560893066179599E-7</v>
          </cell>
          <cell r="I18">
            <v>1.3242551149808999E-7</v>
          </cell>
          <cell r="J18">
            <v>3.2543766744784701E-7</v>
          </cell>
        </row>
        <row r="19">
          <cell r="B19" t="str">
            <v>G-INTC-IMP00-IT</v>
          </cell>
          <cell r="C19" t="str">
            <v>VAR_cap</v>
          </cell>
          <cell r="D19" t="str">
            <v>-</v>
          </cell>
          <cell r="E19">
            <v>1.4632713897707383</v>
          </cell>
          <cell r="F19">
            <v>1.2220891806400402E-3</v>
          </cell>
          <cell r="G19">
            <v>1.1873040204899432E-3</v>
          </cell>
          <cell r="H19">
            <v>1.1396271374362055E-3</v>
          </cell>
          <cell r="I19">
            <v>1.1319899156783109E-3</v>
          </cell>
          <cell r="J19">
            <v>1.1302124814618342E-3</v>
          </cell>
        </row>
        <row r="20">
          <cell r="B20" t="str">
            <v>SCOM-EBAT</v>
          </cell>
          <cell r="C20" t="str">
            <v>VAR_fout</v>
          </cell>
          <cell r="D20" t="str">
            <v>AUX_SCOM-EBAT_OUT</v>
          </cell>
          <cell r="E20">
            <v>2.7014784462341037E-3</v>
          </cell>
          <cell r="F20">
            <v>2.6775400669037715E-3</v>
          </cell>
          <cell r="G20">
            <v>2.6937298189186804E-3</v>
          </cell>
          <cell r="H20">
            <v>4.7017507586173686E-2</v>
          </cell>
          <cell r="I20">
            <v>3.7631707154583477E-3</v>
          </cell>
          <cell r="J20">
            <v>2.886512508205992E-2</v>
          </cell>
        </row>
        <row r="21">
          <cell r="B21" t="str">
            <v>SCOM-EBAT</v>
          </cell>
          <cell r="C21" t="str">
            <v>VAR_fout</v>
          </cell>
          <cell r="D21" t="str">
            <v>SCOM_ELC</v>
          </cell>
          <cell r="E21">
            <v>2.7014784462341015E-3</v>
          </cell>
          <cell r="F21">
            <v>2.6775400669037685E-3</v>
          </cell>
          <cell r="G21">
            <v>2.6937298189186778E-3</v>
          </cell>
          <cell r="H21">
            <v>4.7017507586173631E-2</v>
          </cell>
          <cell r="I21">
            <v>3.763170715458342E-3</v>
          </cell>
          <cell r="J21">
            <v>2.8865125082059892E-2</v>
          </cell>
        </row>
        <row r="22">
          <cell r="B22" t="str">
            <v>SCOM-EBAT</v>
          </cell>
          <cell r="C22" t="str">
            <v>VAR_fin</v>
          </cell>
          <cell r="D22" t="str">
            <v>AUX_SCOM-EBAT_IN</v>
          </cell>
          <cell r="E22">
            <v>3.0132523354258205E-3</v>
          </cell>
          <cell r="F22">
            <v>2.982524617421608E-3</v>
          </cell>
          <cell r="G22">
            <v>2.9823982169652295E-3</v>
          </cell>
          <cell r="H22">
            <v>5.1994296859041146E-2</v>
          </cell>
          <cell r="I22">
            <v>4.1635903690801267E-3</v>
          </cell>
          <cell r="J22">
            <v>3.1922958022989847E-2</v>
          </cell>
        </row>
        <row r="23">
          <cell r="B23" t="str">
            <v>SCOM-EBAT</v>
          </cell>
          <cell r="C23" t="str">
            <v>VAR_fin</v>
          </cell>
          <cell r="D23" t="str">
            <v>SCOM_ELC</v>
          </cell>
          <cell r="E23">
            <v>3.0132523354258205E-3</v>
          </cell>
          <cell r="F23">
            <v>2.982524617421608E-3</v>
          </cell>
          <cell r="G23">
            <v>2.9823982169652295E-3</v>
          </cell>
          <cell r="H23">
            <v>5.1994296859041146E-2</v>
          </cell>
          <cell r="I23">
            <v>4.1635903690801267E-3</v>
          </cell>
          <cell r="J23">
            <v>3.1922958022989847E-2</v>
          </cell>
        </row>
        <row r="24">
          <cell r="B24" t="str">
            <v>SCOM-EBAT</v>
          </cell>
          <cell r="C24" t="str">
            <v>VAR_ncap</v>
          </cell>
          <cell r="D24" t="str">
            <v>-</v>
          </cell>
          <cell r="E24">
            <v>1.09995971683976E-3</v>
          </cell>
          <cell r="F24">
            <v>1.74504643044368E-6</v>
          </cell>
          <cell r="G24">
            <v>5.3262419165507602E-6</v>
          </cell>
          <cell r="H24">
            <v>1.8446510735772199E-2</v>
          </cell>
          <cell r="I24">
            <v>2.9727165398750099E-2</v>
          </cell>
          <cell r="J24">
            <v>4.3589057682686998E-2</v>
          </cell>
        </row>
        <row r="25">
          <cell r="B25" t="str">
            <v>SCOM-EBAT</v>
          </cell>
          <cell r="C25" t="str">
            <v>VAR_cap</v>
          </cell>
          <cell r="D25" t="str">
            <v>-</v>
          </cell>
          <cell r="E25">
            <v>1.1022271237887324E-3</v>
          </cell>
          <cell r="F25">
            <v>1.1032753837527157E-3</v>
          </cell>
          <cell r="G25">
            <v>1.1076721196135748E-3</v>
          </cell>
          <cell r="H25">
            <v>1.9256170201705294E-2</v>
          </cell>
          <cell r="I25">
            <v>3.3786144981068633E-2</v>
          </cell>
          <cell r="J25">
            <v>5.863578149731842E-2</v>
          </cell>
        </row>
        <row r="26">
          <cell r="B26" t="str">
            <v>SCOM-SWHSTG-CHPNGA</v>
          </cell>
          <cell r="C26" t="str">
            <v>VAR_fout</v>
          </cell>
          <cell r="D26" t="str">
            <v>SCOM_LTH_CHPNGA</v>
          </cell>
          <cell r="E26">
            <v>1.1277232127637579E-4</v>
          </cell>
          <cell r="F26">
            <v>6.2807913097893584E-5</v>
          </cell>
          <cell r="G26">
            <v>5.9239724265845048E-2</v>
          </cell>
          <cell r="H26">
            <v>5.5546940242670879E-2</v>
          </cell>
          <cell r="I26">
            <v>1.6181907156445532E-2</v>
          </cell>
          <cell r="J26">
            <v>4.7146828104220884E-2</v>
          </cell>
        </row>
        <row r="27">
          <cell r="B27" t="str">
            <v>SCOM-SWHSTG-CHPNGA</v>
          </cell>
          <cell r="C27" t="str">
            <v>VAR_fout</v>
          </cell>
          <cell r="D27" t="str">
            <v>AUX_SCOM-CHPNGA_OUT</v>
          </cell>
          <cell r="E27">
            <v>1.127723212763756E-4</v>
          </cell>
          <cell r="F27">
            <v>6.2756617778125958E-5</v>
          </cell>
          <cell r="G27">
            <v>5.9164163393056954E-2</v>
          </cell>
          <cell r="H27">
            <v>5.5546940242671004E-2</v>
          </cell>
          <cell r="I27">
            <v>1.618190715644555E-2</v>
          </cell>
          <cell r="J27">
            <v>4.7146828104220891E-2</v>
          </cell>
        </row>
        <row r="28">
          <cell r="B28" t="str">
            <v>SCOM-SWHSTG-CHPNGA</v>
          </cell>
          <cell r="C28" t="str">
            <v>VAR_fin</v>
          </cell>
          <cell r="D28" t="str">
            <v>SCOM_LTH_CHPNGA</v>
          </cell>
          <cell r="E28">
            <v>9.2816725457708812E-5</v>
          </cell>
          <cell r="F28">
            <v>7.9547568414122278E-5</v>
          </cell>
          <cell r="G28">
            <v>7.0486343547682462E-2</v>
          </cell>
          <cell r="H28">
            <v>6.3820358721709033E-2</v>
          </cell>
          <cell r="I28">
            <v>1.7424739692302127E-2</v>
          </cell>
          <cell r="J28">
            <v>4.76342282392863E-2</v>
          </cell>
        </row>
        <row r="29">
          <cell r="B29" t="str">
            <v>SCOM-SWHSTG-CHPNGA</v>
          </cell>
          <cell r="C29" t="str">
            <v>VAR_fin</v>
          </cell>
          <cell r="D29" t="str">
            <v>AUX_SCOM-CHPNGA_IN</v>
          </cell>
          <cell r="E29">
            <v>9.2816725457708812E-5</v>
          </cell>
          <cell r="F29">
            <v>7.9547568414122278E-5</v>
          </cell>
          <cell r="G29">
            <v>7.0486343547682462E-2</v>
          </cell>
          <cell r="H29">
            <v>6.3820358721709033E-2</v>
          </cell>
          <cell r="I29">
            <v>1.7424739692302127E-2</v>
          </cell>
          <cell r="J29">
            <v>4.76342282392863E-2</v>
          </cell>
        </row>
        <row r="30">
          <cell r="B30" t="str">
            <v>SCOM-SWHSTG-CHPNGA</v>
          </cell>
          <cell r="C30" t="str">
            <v>VAR_ncap</v>
          </cell>
          <cell r="D30" t="str">
            <v>-</v>
          </cell>
          <cell r="E30">
            <v>5.2370131418729001E-3</v>
          </cell>
          <cell r="F30">
            <v>7.4215223857067994E-5</v>
          </cell>
          <cell r="G30">
            <v>2.3675436592288099E-4</v>
          </cell>
          <cell r="H30">
            <v>6.2160439360259899E-5</v>
          </cell>
          <cell r="I30">
            <v>2.8609711071047001E-5</v>
          </cell>
          <cell r="J30">
            <v>7.5440057843380499E-5</v>
          </cell>
        </row>
        <row r="31">
          <cell r="B31" t="str">
            <v>SCOM-SWHSTG-CHPNGA</v>
          </cell>
          <cell r="C31" t="str">
            <v>VAR_cap</v>
          </cell>
          <cell r="D31" t="str">
            <v>-</v>
          </cell>
          <cell r="E31">
            <v>5.2370131418729001E-3</v>
          </cell>
          <cell r="F31">
            <v>5.3018658315381537E-3</v>
          </cell>
          <cell r="G31">
            <v>5.5079292968867218E-3</v>
          </cell>
          <cell r="H31">
            <v>5.4733619895751991E-3</v>
          </cell>
          <cell r="I31">
            <v>7.3574792782367948E-3</v>
          </cell>
          <cell r="J31">
            <v>3.1574958801212152E-3</v>
          </cell>
        </row>
        <row r="32">
          <cell r="B32" t="str">
            <v>D-EH2</v>
          </cell>
          <cell r="C32" t="str">
            <v>VAR_fout</v>
          </cell>
          <cell r="D32" t="str">
            <v>EH2</v>
          </cell>
          <cell r="I32">
            <v>1.5214373627254631E-4</v>
          </cell>
          <cell r="J32">
            <v>4.1092930695353858E-4</v>
          </cell>
        </row>
        <row r="33">
          <cell r="B33" t="str">
            <v>D-EH2</v>
          </cell>
          <cell r="C33" t="str">
            <v>VAR_fin</v>
          </cell>
          <cell r="D33" t="str">
            <v>H2</v>
          </cell>
          <cell r="I33">
            <v>1.5368054168944087E-4</v>
          </cell>
          <cell r="J33">
            <v>4.150801080338776E-4</v>
          </cell>
        </row>
        <row r="34">
          <cell r="B34" t="str">
            <v>D-EH2</v>
          </cell>
          <cell r="C34" t="str">
            <v>VAR_ncap</v>
          </cell>
          <cell r="D34" t="str">
            <v>-</v>
          </cell>
          <cell r="H34">
            <v>2.21001526654633E-6</v>
          </cell>
          <cell r="I34">
            <v>8.6820108788047696E-4</v>
          </cell>
          <cell r="J34">
            <v>1.39935071469057E-5</v>
          </cell>
        </row>
        <row r="35">
          <cell r="B35" t="str">
            <v>D-EH2</v>
          </cell>
          <cell r="C35" t="str">
            <v>VAR_cap</v>
          </cell>
          <cell r="D35" t="str">
            <v>-</v>
          </cell>
          <cell r="H35">
            <v>2.21001526654633E-6</v>
          </cell>
          <cell r="I35">
            <v>8.7675897835293496E-4</v>
          </cell>
          <cell r="J35">
            <v>8.9075248549984104E-4</v>
          </cell>
        </row>
        <row r="36">
          <cell r="B36" t="str">
            <v>ITOT-EBAT</v>
          </cell>
          <cell r="C36" t="str">
            <v>VAR_fout</v>
          </cell>
          <cell r="D36" t="str">
            <v>AUX_ITOT-EBAT_OUT</v>
          </cell>
          <cell r="E36">
            <v>2.6917801845884734E-3</v>
          </cell>
          <cell r="F36">
            <v>2.6676979697167545E-3</v>
          </cell>
          <cell r="G36">
            <v>2.6840149106809618E-3</v>
          </cell>
          <cell r="H36">
            <v>4.7297116096214564E-2</v>
          </cell>
          <cell r="I36">
            <v>3.5961326726906082E-3</v>
          </cell>
          <cell r="J36">
            <v>1.396109185996243E-2</v>
          </cell>
        </row>
        <row r="37">
          <cell r="B37" t="str">
            <v>ITOT-EBAT</v>
          </cell>
          <cell r="C37" t="str">
            <v>VAR_fout</v>
          </cell>
          <cell r="D37" t="str">
            <v>ITOT_ELC</v>
          </cell>
          <cell r="E37">
            <v>2.6917801845884721E-3</v>
          </cell>
          <cell r="F37">
            <v>2.667697969716751E-3</v>
          </cell>
          <cell r="G37">
            <v>2.6840149106809588E-3</v>
          </cell>
          <cell r="H37">
            <v>4.7297116096214509E-2</v>
          </cell>
          <cell r="I37">
            <v>3.5961326726906052E-3</v>
          </cell>
          <cell r="J37">
            <v>1.3961091859962414E-2</v>
          </cell>
        </row>
        <row r="38">
          <cell r="B38" t="str">
            <v>ITOT-EBAT</v>
          </cell>
          <cell r="C38" t="str">
            <v>VAR_fin</v>
          </cell>
          <cell r="D38" t="str">
            <v>ITOT_ELC</v>
          </cell>
          <cell r="E38">
            <v>3.0025273692861959E-3</v>
          </cell>
          <cell r="F38">
            <v>2.9716405886201628E-3</v>
          </cell>
          <cell r="G38">
            <v>2.9716563441078881E-3</v>
          </cell>
          <cell r="H38">
            <v>5.2303506067058532E-2</v>
          </cell>
          <cell r="I38">
            <v>3.9788688779290272E-3</v>
          </cell>
          <cell r="J38">
            <v>1.5441112358861312E-2</v>
          </cell>
        </row>
        <row r="39">
          <cell r="B39" t="str">
            <v>ITOT-EBAT</v>
          </cell>
          <cell r="C39" t="str">
            <v>VAR_fin</v>
          </cell>
          <cell r="D39" t="str">
            <v>AUX_ITOT-EBAT_IN</v>
          </cell>
          <cell r="E39">
            <v>3.0025273692861959E-3</v>
          </cell>
          <cell r="F39">
            <v>2.9716405886201628E-3</v>
          </cell>
          <cell r="G39">
            <v>2.9716563441078881E-3</v>
          </cell>
          <cell r="H39">
            <v>5.2303506067058532E-2</v>
          </cell>
          <cell r="I39">
            <v>3.9788688779290272E-3</v>
          </cell>
          <cell r="J39">
            <v>1.5441112358861312E-2</v>
          </cell>
        </row>
        <row r="40">
          <cell r="B40" t="str">
            <v>ITOT-EBAT</v>
          </cell>
          <cell r="C40" t="str">
            <v>VAR_ncap</v>
          </cell>
          <cell r="D40" t="str">
            <v>-</v>
          </cell>
          <cell r="E40">
            <v>1.09631568449253E-3</v>
          </cell>
          <cell r="F40">
            <v>1.74109374025393E-6</v>
          </cell>
          <cell r="G40">
            <v>5.3573733287923497E-6</v>
          </cell>
          <cell r="H40">
            <v>1.85648710825339E-2</v>
          </cell>
          <cell r="I40">
            <v>8.1275864642790605E-3</v>
          </cell>
          <cell r="J40">
            <v>2.6823460046397601E-2</v>
          </cell>
        </row>
        <row r="41">
          <cell r="B41" t="str">
            <v>ITOT-EBAT</v>
          </cell>
          <cell r="C41" t="str">
            <v>VAR_cap</v>
          </cell>
          <cell r="D41" t="str">
            <v>-</v>
          </cell>
          <cell r="E41">
            <v>1.0983265258409525E-3</v>
          </cell>
          <cell r="F41">
            <v>1.0993787276146962E-3</v>
          </cell>
          <cell r="G41">
            <v>1.1038099708056491E-3</v>
          </cell>
          <cell r="H41">
            <v>1.9371896736900446E-2</v>
          </cell>
          <cell r="I41">
            <v>3.3001004075781958E-2</v>
          </cell>
          <cell r="J41">
            <v>3.4686898839575028E-2</v>
          </cell>
        </row>
        <row r="42">
          <cell r="B42" t="str">
            <v>EWSTINCCS</v>
          </cell>
          <cell r="C42" t="str">
            <v>VAR_fout</v>
          </cell>
          <cell r="D42" t="str">
            <v>ELC35</v>
          </cell>
          <cell r="I42">
            <v>3.1756815315912552E-4</v>
          </cell>
          <cell r="J42">
            <v>4.4885644260039532</v>
          </cell>
        </row>
        <row r="43">
          <cell r="B43" t="str">
            <v>EWSTINCCS</v>
          </cell>
          <cell r="C43" t="str">
            <v>VAR_fout</v>
          </cell>
          <cell r="D43" t="str">
            <v>CO2_O</v>
          </cell>
          <cell r="I43">
            <v>8.1528352590009151E-2</v>
          </cell>
          <cell r="J43">
            <v>1152.3361505423268</v>
          </cell>
        </row>
        <row r="44">
          <cell r="B44" t="str">
            <v>EWSTINCCS</v>
          </cell>
          <cell r="C44" t="str">
            <v>VAR_fout</v>
          </cell>
          <cell r="D44" t="str">
            <v>CO2</v>
          </cell>
          <cell r="I44">
            <v>-8.1528352590009207E-2</v>
          </cell>
          <cell r="J44">
            <v>-1152.33615054233</v>
          </cell>
        </row>
        <row r="45">
          <cell r="B45" t="str">
            <v>EWSTINCCS</v>
          </cell>
          <cell r="C45" t="str">
            <v>VAR_fout</v>
          </cell>
          <cell r="D45" t="str">
            <v>CO2_E</v>
          </cell>
          <cell r="I45">
            <v>8.8047761005932396E-2</v>
          </cell>
          <cell r="J45">
            <v>1220.08100175506</v>
          </cell>
        </row>
        <row r="46">
          <cell r="B46" t="str">
            <v>EWSTINCCS</v>
          </cell>
          <cell r="C46" t="str">
            <v>VAR_fin</v>
          </cell>
          <cell r="D46" t="str">
            <v>EWST</v>
          </cell>
          <cell r="I46">
            <v>9.4879052808116823E-4</v>
          </cell>
          <cell r="J46">
            <v>13.147424587877781</v>
          </cell>
        </row>
        <row r="47">
          <cell r="B47" t="str">
            <v>EWSTINCCS</v>
          </cell>
          <cell r="C47" t="str">
            <v>VAR_ncap</v>
          </cell>
          <cell r="D47" t="str">
            <v>-</v>
          </cell>
          <cell r="I47">
            <v>1.9819810467024701E-5</v>
          </cell>
          <cell r="J47">
            <v>0.177750896795978</v>
          </cell>
        </row>
        <row r="48">
          <cell r="B48" t="str">
            <v>EWSTINCCS</v>
          </cell>
          <cell r="C48" t="str">
            <v>VAR_cap</v>
          </cell>
          <cell r="D48" t="str">
            <v>-</v>
          </cell>
          <cell r="I48">
            <v>1.9819810467024701E-5</v>
          </cell>
          <cell r="J48">
            <v>0.17777065854578883</v>
          </cell>
        </row>
        <row r="49">
          <cell r="B49" t="str">
            <v>D-RES_LTH</v>
          </cell>
          <cell r="C49" t="str">
            <v>VAR_fout</v>
          </cell>
          <cell r="D49" t="str">
            <v>RHNS_LTH_DH</v>
          </cell>
          <cell r="F49">
            <v>5.4487159272056246E-2</v>
          </cell>
          <cell r="G49">
            <v>3.6149622195462373E-3</v>
          </cell>
          <cell r="H49">
            <v>0.1694359261475169</v>
          </cell>
          <cell r="I49">
            <v>0.19217275021883046</v>
          </cell>
          <cell r="J49">
            <v>0.20817987778895311</v>
          </cell>
        </row>
        <row r="50">
          <cell r="B50" t="str">
            <v>D-RES_LTH</v>
          </cell>
          <cell r="C50" t="str">
            <v>VAR_fout</v>
          </cell>
          <cell r="D50" t="str">
            <v>RHEM_LTH_DH</v>
          </cell>
          <cell r="E50">
            <v>3.4038826608600545</v>
          </cell>
          <cell r="F50">
            <v>3.827016625296376</v>
          </cell>
          <cell r="G50">
            <v>4.9828926541582819</v>
          </cell>
          <cell r="H50">
            <v>7.3548770001415837</v>
          </cell>
          <cell r="I50">
            <v>7.0130766796838175</v>
          </cell>
          <cell r="J50">
            <v>5.5243293576012942</v>
          </cell>
        </row>
        <row r="51">
          <cell r="B51" t="str">
            <v>D-RES_LTH</v>
          </cell>
          <cell r="C51" t="str">
            <v>VAR_fout</v>
          </cell>
          <cell r="D51" t="str">
            <v>RHES_LTH_DH</v>
          </cell>
          <cell r="E51">
            <v>3.174463267067706</v>
          </cell>
          <cell r="F51">
            <v>3.5392031624903315</v>
          </cell>
          <cell r="G51">
            <v>1.6135141086197888</v>
          </cell>
          <cell r="H51">
            <v>3.2586591825911349</v>
          </cell>
          <cell r="I51">
            <v>3.2534599624185843</v>
          </cell>
          <cell r="J51">
            <v>2.6707236837987809</v>
          </cell>
        </row>
        <row r="52">
          <cell r="B52" t="str">
            <v>D-RES_LTH</v>
          </cell>
          <cell r="C52" t="str">
            <v>VAR_fout</v>
          </cell>
          <cell r="D52" t="str">
            <v>RHSA_LTH</v>
          </cell>
          <cell r="E52">
            <v>1.7616751635257446</v>
          </cell>
          <cell r="F52">
            <v>1.8954897821365289</v>
          </cell>
          <cell r="G52">
            <v>1.7619830930112288</v>
          </cell>
          <cell r="H52">
            <v>0.39090423866299512</v>
          </cell>
          <cell r="I52">
            <v>0.44662083757274817</v>
          </cell>
          <cell r="J52">
            <v>3.5670863436297822</v>
          </cell>
        </row>
        <row r="53">
          <cell r="B53" t="str">
            <v>D-RES_LTH</v>
          </cell>
          <cell r="C53" t="str">
            <v>VAR_fout</v>
          </cell>
          <cell r="D53" t="str">
            <v>RHNM_LTH_DH</v>
          </cell>
          <cell r="F53">
            <v>0.35012078990874035</v>
          </cell>
          <cell r="G53">
            <v>6.1803615599253056E-2</v>
          </cell>
          <cell r="H53">
            <v>0.27482468642135083</v>
          </cell>
          <cell r="I53">
            <v>0.34588339447160205</v>
          </cell>
          <cell r="J53">
            <v>0.36583518092313877</v>
          </cell>
        </row>
        <row r="54">
          <cell r="B54" t="str">
            <v>D-RES_LTH</v>
          </cell>
          <cell r="C54" t="str">
            <v>VAR_fin</v>
          </cell>
          <cell r="D54" t="str">
            <v>LTH</v>
          </cell>
          <cell r="E54">
            <v>9.218751363073185</v>
          </cell>
          <cell r="F54">
            <v>10.68463662390068</v>
          </cell>
          <cell r="G54">
            <v>9.2905214793778228</v>
          </cell>
          <cell r="H54">
            <v>12.58011636175117</v>
          </cell>
          <cell r="I54">
            <v>12.27256766987246</v>
          </cell>
          <cell r="J54">
            <v>13.358147542496431</v>
          </cell>
        </row>
        <row r="55">
          <cell r="B55" t="str">
            <v>D-RES_LTH</v>
          </cell>
          <cell r="C55" t="str">
            <v>VAR_ncap</v>
          </cell>
          <cell r="D55" t="str">
            <v>-</v>
          </cell>
          <cell r="E55">
            <v>0.627698285834701</v>
          </cell>
          <cell r="F55">
            <v>1.86115692420501E-6</v>
          </cell>
          <cell r="G55">
            <v>1.2977777188140299E-6</v>
          </cell>
          <cell r="H55">
            <v>0.108326923069341</v>
          </cell>
          <cell r="I55">
            <v>5.04978329907405E-7</v>
          </cell>
          <cell r="J55">
            <v>3.6737818612945801E-7</v>
          </cell>
        </row>
        <row r="56">
          <cell r="B56" t="str">
            <v>D-RES_LTH</v>
          </cell>
          <cell r="C56" t="str">
            <v>VAR_cap</v>
          </cell>
          <cell r="D56" t="str">
            <v>-</v>
          </cell>
          <cell r="E56">
            <v>0.627698285834701</v>
          </cell>
          <cell r="F56">
            <v>0.62770014699162602</v>
          </cell>
          <cell r="G56">
            <v>0.62770144476934497</v>
          </cell>
          <cell r="H56">
            <v>0.73602836783868497</v>
          </cell>
          <cell r="I56">
            <v>0.74127455904736606</v>
          </cell>
          <cell r="J56">
            <v>0.74127492642555304</v>
          </cell>
        </row>
        <row r="57">
          <cell r="B57" t="str">
            <v>RHES-SHSTG-CHPNGA</v>
          </cell>
          <cell r="C57" t="str">
            <v>VAR_fout</v>
          </cell>
          <cell r="D57" t="str">
            <v>RHES_LTH_CHPNGA</v>
          </cell>
          <cell r="E57">
            <v>1.2977781713466287E-2</v>
          </cell>
          <cell r="F57">
            <v>1.4707029648483149E-4</v>
          </cell>
          <cell r="G57">
            <v>1.0700374748823948E-2</v>
          </cell>
          <cell r="H57">
            <v>1.4723353080192401E-2</v>
          </cell>
          <cell r="I57">
            <v>1.0494507254761227E-3</v>
          </cell>
          <cell r="J57">
            <v>8.3578427626416834E-4</v>
          </cell>
        </row>
        <row r="58">
          <cell r="B58" t="str">
            <v>RHES-SHSTG-CHPNGA</v>
          </cell>
          <cell r="C58" t="str">
            <v>VAR_fout</v>
          </cell>
          <cell r="D58" t="str">
            <v>AUX_RES_CHPNGA_OUT</v>
          </cell>
          <cell r="E58">
            <v>1.2977781713466315E-2</v>
          </cell>
          <cell r="F58">
            <v>1.4697231494153741E-4</v>
          </cell>
          <cell r="G58">
            <v>1.0689240123695112E-2</v>
          </cell>
          <cell r="H58">
            <v>1.4723353080192401E-2</v>
          </cell>
          <cell r="I58">
            <v>1.0494507254761262E-3</v>
          </cell>
          <cell r="J58">
            <v>8.3578427626416964E-4</v>
          </cell>
        </row>
        <row r="59">
          <cell r="B59" t="str">
            <v>RHES-SHSTG-CHPNGA</v>
          </cell>
          <cell r="C59" t="str">
            <v>VAR_fin</v>
          </cell>
          <cell r="D59" t="str">
            <v>RHES_LTH_CHPNGA</v>
          </cell>
          <cell r="E59">
            <v>1.7350117313795235E-2</v>
          </cell>
          <cell r="F59">
            <v>1.9359411830027499E-4</v>
          </cell>
          <cell r="G59">
            <v>1.3795333069162252E-2</v>
          </cell>
          <cell r="H59">
            <v>1.8409992395550894E-2</v>
          </cell>
          <cell r="I59">
            <v>1.2404489576498424E-3</v>
          </cell>
          <cell r="J59">
            <v>9.3445024116984069E-4</v>
          </cell>
        </row>
        <row r="60">
          <cell r="B60" t="str">
            <v>RHES-SHSTG-CHPNGA</v>
          </cell>
          <cell r="C60" t="str">
            <v>VAR_fin</v>
          </cell>
          <cell r="D60" t="str">
            <v>AUX_RES_CHPNGA_IN</v>
          </cell>
          <cell r="E60">
            <v>1.7350117313795235E-2</v>
          </cell>
          <cell r="F60">
            <v>1.9359411830027499E-4</v>
          </cell>
          <cell r="G60">
            <v>1.3795333069162252E-2</v>
          </cell>
          <cell r="H60">
            <v>1.8409992395550894E-2</v>
          </cell>
          <cell r="I60">
            <v>1.2404489576498424E-3</v>
          </cell>
          <cell r="J60">
            <v>9.3445024116984069E-4</v>
          </cell>
        </row>
        <row r="61">
          <cell r="B61" t="str">
            <v>RHES-SHSTG-CHPNGA</v>
          </cell>
          <cell r="C61" t="str">
            <v>VAR_ncap</v>
          </cell>
          <cell r="D61" t="str">
            <v>-</v>
          </cell>
          <cell r="E61">
            <v>5.2888862332794596E-3</v>
          </cell>
          <cell r="F61">
            <v>7.6988331609151802E-5</v>
          </cell>
          <cell r="G61">
            <v>7.0745032904386804E-5</v>
          </cell>
          <cell r="H61">
            <v>4.3241121345376701E-5</v>
          </cell>
          <cell r="I61">
            <v>4.1293952537106699E-4</v>
          </cell>
          <cell r="J61">
            <v>6.0519020190668096E-4</v>
          </cell>
        </row>
        <row r="62">
          <cell r="B62" t="str">
            <v>RHES-SHSTG-CHPNGA</v>
          </cell>
          <cell r="C62" t="str">
            <v>VAR_cap</v>
          </cell>
          <cell r="D62" t="str">
            <v>-</v>
          </cell>
          <cell r="E62">
            <v>5.2888862332794596E-3</v>
          </cell>
          <cell r="F62">
            <v>5.3564190137475771E-3</v>
          </cell>
          <cell r="G62">
            <v>5.3981313110259155E-3</v>
          </cell>
          <cell r="H62">
            <v>5.3408847374334777E-3</v>
          </cell>
          <cell r="I62">
            <v>4.4806743307681156E-3</v>
          </cell>
          <cell r="J62">
            <v>2.5962078044386846E-3</v>
          </cell>
        </row>
        <row r="63">
          <cell r="B63" t="str">
            <v>RHNS-CHPWOD</v>
          </cell>
          <cell r="C63" t="str">
            <v>VAR_fout</v>
          </cell>
          <cell r="D63" t="str">
            <v>RHNS_LTH_CHPWOD</v>
          </cell>
          <cell r="H63">
            <v>1.3728515894396805E-3</v>
          </cell>
          <cell r="I63">
            <v>8.2312740350799286E-4</v>
          </cell>
          <cell r="J63">
            <v>9.8861123045119038E-4</v>
          </cell>
        </row>
        <row r="64">
          <cell r="B64" t="str">
            <v>RHNS-CHPWOD</v>
          </cell>
          <cell r="C64" t="str">
            <v>VAR_fout</v>
          </cell>
          <cell r="D64" t="str">
            <v>RHNS_KEV_WOD_ELC_CHP</v>
          </cell>
          <cell r="H64">
            <v>5.0854495232726575E-4</v>
          </cell>
          <cell r="I64">
            <v>3.1805351431145107E-4</v>
          </cell>
          <cell r="J64">
            <v>3.9778083280513679E-4</v>
          </cell>
        </row>
        <row r="65">
          <cell r="B65" t="str">
            <v>RHNS-CHPWOD</v>
          </cell>
          <cell r="C65" t="str">
            <v>VAR_fin</v>
          </cell>
          <cell r="D65" t="str">
            <v>RWOD</v>
          </cell>
          <cell r="H65">
            <v>4.3199892909392898E-3</v>
          </cell>
          <cell r="I65">
            <v>1.4794055032789925E-3</v>
          </cell>
          <cell r="J65">
            <v>1.5321184432240563E-3</v>
          </cell>
        </row>
        <row r="66">
          <cell r="B66" t="str">
            <v>RHNS-CHPWOD</v>
          </cell>
          <cell r="C66" t="str">
            <v>VAR_ncap</v>
          </cell>
          <cell r="D66" t="str">
            <v>-</v>
          </cell>
          <cell r="H66">
            <v>5.7867121377995498E-5</v>
          </cell>
          <cell r="I66">
            <v>5.0094453951540603E-7</v>
          </cell>
          <cell r="J66">
            <v>2.9718990042875199E-5</v>
          </cell>
        </row>
        <row r="67">
          <cell r="B67" t="str">
            <v>RHNS-CHPWOD</v>
          </cell>
          <cell r="C67" t="str">
            <v>VAR_cap</v>
          </cell>
          <cell r="D67" t="str">
            <v>-</v>
          </cell>
          <cell r="H67">
            <v>5.7867121377995498E-5</v>
          </cell>
          <cell r="I67">
            <v>6.8089004783518706E-5</v>
          </cell>
          <cell r="J67">
            <v>4.2050966762276223E-5</v>
          </cell>
        </row>
        <row r="68">
          <cell r="B68" t="str">
            <v>D-ICOA</v>
          </cell>
          <cell r="C68" t="str">
            <v>VAR_fout</v>
          </cell>
          <cell r="D68" t="str">
            <v>ICOA</v>
          </cell>
          <cell r="E68">
            <v>3.5600697668375831</v>
          </cell>
          <cell r="F68">
            <v>3.4647336066615742</v>
          </cell>
          <cell r="G68">
            <v>1.3678960371944753</v>
          </cell>
          <cell r="H68">
            <v>9.6632042803424385E-5</v>
          </cell>
          <cell r="I68">
            <v>1.1673944620316094E-4</v>
          </cell>
          <cell r="J68">
            <v>8.4194731248640261E-6</v>
          </cell>
        </row>
        <row r="69">
          <cell r="B69" t="str">
            <v>D-ICOA</v>
          </cell>
          <cell r="C69" t="str">
            <v>VAR_fout</v>
          </cell>
          <cell r="D69" t="str">
            <v>CO2</v>
          </cell>
          <cell r="E69">
            <v>330.01846738584402</v>
          </cell>
          <cell r="F69">
            <v>321.180805337528</v>
          </cell>
          <cell r="G69">
            <v>126.803962647928</v>
          </cell>
          <cell r="H69">
            <v>8.9577903678774405E-3</v>
          </cell>
          <cell r="I69">
            <v>1.0821746663033E-2</v>
          </cell>
          <cell r="J69">
            <v>7.8048515867489596E-4</v>
          </cell>
        </row>
        <row r="70">
          <cell r="B70" t="str">
            <v>D-ICOA</v>
          </cell>
          <cell r="C70" t="str">
            <v>VAR_fin</v>
          </cell>
          <cell r="D70" t="str">
            <v>COA</v>
          </cell>
          <cell r="E70">
            <v>3.5600697668375831</v>
          </cell>
          <cell r="F70">
            <v>3.4647336066615742</v>
          </cell>
          <cell r="G70">
            <v>1.3678960371944753</v>
          </cell>
          <cell r="H70">
            <v>9.6632042803424385E-5</v>
          </cell>
          <cell r="I70">
            <v>1.1673944620316094E-4</v>
          </cell>
          <cell r="J70">
            <v>8.4194731248640261E-6</v>
          </cell>
        </row>
        <row r="71">
          <cell r="B71" t="str">
            <v>RHNM-SHSTG-CHPWOD</v>
          </cell>
          <cell r="C71" t="str">
            <v>VAR_fout</v>
          </cell>
          <cell r="D71" t="str">
            <v>RHNM_LTH_CHPWOD</v>
          </cell>
          <cell r="E71">
            <v>9.4743614802181742E-4</v>
          </cell>
          <cell r="F71">
            <v>5.4781944991294626E-4</v>
          </cell>
          <cell r="G71">
            <v>3.8033140068408197E-4</v>
          </cell>
          <cell r="H71">
            <v>1.8578648210602652E-3</v>
          </cell>
          <cell r="I71">
            <v>4.8673130735633755E-4</v>
          </cell>
          <cell r="J71">
            <v>1.1215513804505163E-3</v>
          </cell>
        </row>
        <row r="72">
          <cell r="B72" t="str">
            <v>RHNM-SHSTG-CHPWOD</v>
          </cell>
          <cell r="C72" t="str">
            <v>VAR_fout</v>
          </cell>
          <cell r="D72" t="str">
            <v>AUX_RNM-CHPWOD_OUT</v>
          </cell>
          <cell r="E72">
            <v>9.4743614802181948E-4</v>
          </cell>
          <cell r="F72">
            <v>5.4745448025944068E-4</v>
          </cell>
          <cell r="G72">
            <v>3.7993563439825097E-4</v>
          </cell>
          <cell r="H72">
            <v>1.8578648210602652E-3</v>
          </cell>
          <cell r="I72">
            <v>4.8673130735633939E-4</v>
          </cell>
          <cell r="J72">
            <v>1.1215513804505172E-3</v>
          </cell>
        </row>
        <row r="73">
          <cell r="B73" t="str">
            <v>RHNM-SHSTG-CHPWOD</v>
          </cell>
          <cell r="C73" t="str">
            <v>VAR_fin</v>
          </cell>
          <cell r="D73" t="str">
            <v>RHNM_LTH_CHPWOD</v>
          </cell>
          <cell r="E73">
            <v>7.4244324053340794E-4</v>
          </cell>
          <cell r="F73">
            <v>3.0937230442350586E-4</v>
          </cell>
          <cell r="G73">
            <v>3.0380683102044815E-4</v>
          </cell>
          <cell r="H73">
            <v>2.3281320716651722E-3</v>
          </cell>
          <cell r="I73">
            <v>5.7843072275947098E-4</v>
          </cell>
          <cell r="J73">
            <v>1.2519692458381102E-3</v>
          </cell>
        </row>
        <row r="74">
          <cell r="B74" t="str">
            <v>RHNM-SHSTG-CHPWOD</v>
          </cell>
          <cell r="C74" t="str">
            <v>VAR_fin</v>
          </cell>
          <cell r="D74" t="str">
            <v>AUX_RNM-CHPWOD_IN</v>
          </cell>
          <cell r="E74">
            <v>7.4244324053340794E-4</v>
          </cell>
          <cell r="F74">
            <v>3.0937230442350586E-4</v>
          </cell>
          <cell r="G74">
            <v>3.0380683102044815E-4</v>
          </cell>
          <cell r="H74">
            <v>2.3281320716651722E-3</v>
          </cell>
          <cell r="I74">
            <v>5.7843072275947098E-4</v>
          </cell>
          <cell r="J74">
            <v>1.2519692458381102E-3</v>
          </cell>
        </row>
        <row r="75">
          <cell r="B75" t="str">
            <v>RHNM-SHSTG-CHPWOD</v>
          </cell>
          <cell r="C75" t="str">
            <v>VAR_ncap</v>
          </cell>
          <cell r="D75" t="str">
            <v>-</v>
          </cell>
          <cell r="E75">
            <v>5.2970885620201398E-3</v>
          </cell>
          <cell r="F75">
            <v>1.2316219122877301E-4</v>
          </cell>
          <cell r="G75">
            <v>1.82639427734948E-4</v>
          </cell>
          <cell r="H75">
            <v>1.5604076993610901E-4</v>
          </cell>
          <cell r="I75">
            <v>4.53084808858375E-4</v>
          </cell>
          <cell r="J75">
            <v>9.806083101971529E-4</v>
          </cell>
        </row>
        <row r="76">
          <cell r="B76" t="str">
            <v>RHNM-SHSTG-CHPWOD</v>
          </cell>
          <cell r="C76" t="str">
            <v>VAR_cap</v>
          </cell>
          <cell r="D76" t="str">
            <v>-</v>
          </cell>
          <cell r="E76">
            <v>5.2970885620201398E-3</v>
          </cell>
          <cell r="F76">
            <v>5.4045571082433422E-3</v>
          </cell>
          <cell r="G76">
            <v>5.5440126589044771E-3</v>
          </cell>
          <cell r="H76">
            <v>5.6411011110342624E-3</v>
          </cell>
          <cell r="I76">
            <v>7.2452018671875376E-3</v>
          </cell>
          <cell r="J76">
            <v>4.1146214500345207E-3</v>
          </cell>
        </row>
        <row r="77">
          <cell r="B77" t="str">
            <v>ENGA-CCS</v>
          </cell>
          <cell r="C77" t="str">
            <v>VAR_fout</v>
          </cell>
          <cell r="D77" t="str">
            <v>CO2_O</v>
          </cell>
          <cell r="I77">
            <v>3.7439220534547152E-2</v>
          </cell>
          <cell r="J77">
            <v>62.386123804942677</v>
          </cell>
        </row>
        <row r="78">
          <cell r="B78" t="str">
            <v>ENGA-CCS</v>
          </cell>
          <cell r="C78" t="str">
            <v>VAR_fout</v>
          </cell>
          <cell r="D78" t="str">
            <v>CO2</v>
          </cell>
          <cell r="I78">
            <v>-3.74392205345472E-2</v>
          </cell>
          <cell r="J78">
            <v>-62.386123804942699</v>
          </cell>
        </row>
        <row r="79">
          <cell r="B79" t="str">
            <v>ENGA-CCS</v>
          </cell>
          <cell r="C79" t="str">
            <v>VAR_fout</v>
          </cell>
          <cell r="D79" t="str">
            <v>ELC13</v>
          </cell>
          <cell r="I79">
            <v>4.0649404716169038E-4</v>
          </cell>
          <cell r="J79">
            <v>0.68356777617177633</v>
          </cell>
        </row>
        <row r="80">
          <cell r="B80" t="str">
            <v>ENGA-CCS</v>
          </cell>
          <cell r="C80" t="str">
            <v>VAR_fout</v>
          </cell>
          <cell r="D80" t="str">
            <v>CO2_E</v>
          </cell>
          <cell r="I80">
            <v>4.9897747778012203E-2</v>
          </cell>
          <cell r="J80">
            <v>70.371228353171702</v>
          </cell>
        </row>
        <row r="81">
          <cell r="B81" t="str">
            <v>ENGA-CCS</v>
          </cell>
          <cell r="C81" t="str">
            <v>VAR_fin</v>
          </cell>
          <cell r="D81" t="str">
            <v>ENGA</v>
          </cell>
          <cell r="I81">
            <v>8.8471184003567844E-4</v>
          </cell>
          <cell r="J81">
            <v>1.2477168147725484</v>
          </cell>
        </row>
        <row r="82">
          <cell r="B82" t="str">
            <v>ENGA-CCS</v>
          </cell>
          <cell r="C82" t="str">
            <v>VAR_fin</v>
          </cell>
          <cell r="D82" t="str">
            <v>GTC</v>
          </cell>
          <cell r="I82">
            <v>1.00383413872426E-4</v>
          </cell>
          <cell r="J82">
            <v>2.8425345918143392E-2</v>
          </cell>
        </row>
        <row r="83">
          <cell r="B83" t="str">
            <v>ENGA-CCS</v>
          </cell>
          <cell r="C83" t="str">
            <v>VAR_ncap</v>
          </cell>
          <cell r="D83" t="str">
            <v>-</v>
          </cell>
          <cell r="I83">
            <v>2.0848537152429501E-4</v>
          </cell>
          <cell r="J83">
            <v>3.8133479929019901E-2</v>
          </cell>
        </row>
        <row r="84">
          <cell r="B84" t="str">
            <v>ENGA-CCS</v>
          </cell>
          <cell r="C84" t="str">
            <v>VAR_cap</v>
          </cell>
          <cell r="D84" t="str">
            <v>-</v>
          </cell>
          <cell r="I84">
            <v>1.00383413872426E-4</v>
          </cell>
          <cell r="J84">
            <v>2.8425345918143399E-2</v>
          </cell>
        </row>
        <row r="85">
          <cell r="B85" t="str">
            <v>CHPWSTCCS</v>
          </cell>
          <cell r="C85" t="str">
            <v>VAR_fout</v>
          </cell>
          <cell r="D85" t="str">
            <v>ELC35</v>
          </cell>
          <cell r="I85">
            <v>4.6735729888746555E-5</v>
          </cell>
          <cell r="J85">
            <v>0.71887070634310557</v>
          </cell>
        </row>
        <row r="86">
          <cell r="B86" t="str">
            <v>CHPWSTCCS</v>
          </cell>
          <cell r="C86" t="str">
            <v>VAR_fout</v>
          </cell>
          <cell r="D86" t="str">
            <v>CO2_O</v>
          </cell>
          <cell r="I86">
            <v>8.0011803040532445E-2</v>
          </cell>
          <cell r="J86">
            <v>1099.4994329312917</v>
          </cell>
        </row>
        <row r="87">
          <cell r="B87" t="str">
            <v>CHPWSTCCS</v>
          </cell>
          <cell r="C87" t="str">
            <v>VAR_fout</v>
          </cell>
          <cell r="D87" t="str">
            <v>CO2</v>
          </cell>
          <cell r="I87">
            <v>-8.0011803040532403E-2</v>
          </cell>
          <cell r="J87">
            <v>-1099.4994329312899</v>
          </cell>
        </row>
        <row r="88">
          <cell r="B88" t="str">
            <v>CHPWSTCCS</v>
          </cell>
          <cell r="C88" t="str">
            <v>VAR_fout</v>
          </cell>
          <cell r="D88" t="str">
            <v>LTH</v>
          </cell>
          <cell r="I88">
            <v>4.3850591057669158E-4</v>
          </cell>
          <cell r="J88">
            <v>6.3691944581999094</v>
          </cell>
        </row>
        <row r="89">
          <cell r="B89" t="str">
            <v>CHPWSTCCS</v>
          </cell>
          <cell r="C89" t="str">
            <v>VAR_fout</v>
          </cell>
          <cell r="D89" t="str">
            <v>CO2_E</v>
          </cell>
          <cell r="I89">
            <v>8.9900902292733106E-2</v>
          </cell>
          <cell r="J89">
            <v>1235.3926212711101</v>
          </cell>
        </row>
        <row r="90">
          <cell r="B90" t="str">
            <v>CHPWSTCCS</v>
          </cell>
          <cell r="C90" t="str">
            <v>VAR_fin</v>
          </cell>
          <cell r="D90" t="str">
            <v>EWST</v>
          </cell>
          <cell r="I90">
            <v>9.6875972298203798E-4</v>
          </cell>
          <cell r="J90">
            <v>13.312420487835292</v>
          </cell>
        </row>
        <row r="91">
          <cell r="B91" t="str">
            <v>CHPWSTCCS</v>
          </cell>
          <cell r="C91" t="str">
            <v>VAR_ncap</v>
          </cell>
          <cell r="D91" t="str">
            <v>-</v>
          </cell>
          <cell r="I91">
            <v>1.17858877644963E-5</v>
          </cell>
          <cell r="J91">
            <v>5.6055961138023698E-2</v>
          </cell>
        </row>
        <row r="92">
          <cell r="B92" t="str">
            <v>CHPWSTCCS</v>
          </cell>
          <cell r="C92" t="str">
            <v>VAR_cap</v>
          </cell>
          <cell r="D92" t="str">
            <v>-</v>
          </cell>
          <cell r="I92">
            <v>1.17858877644963E-5</v>
          </cell>
          <cell r="J92">
            <v>5.6067679048642918E-2</v>
          </cell>
        </row>
        <row r="93">
          <cell r="B93" t="str">
            <v>RHNS-CHPGFC</v>
          </cell>
          <cell r="C93" t="str">
            <v>VAR_fout</v>
          </cell>
          <cell r="D93" t="str">
            <v>CO2_R</v>
          </cell>
          <cell r="H93">
            <v>5.3290523732267003E-2</v>
          </cell>
          <cell r="I93">
            <v>0.12004968071318101</v>
          </cell>
          <cell r="J93">
            <v>1.59841203376252E-2</v>
          </cell>
        </row>
        <row r="94">
          <cell r="B94" t="str">
            <v>RHNS-CHPGFC</v>
          </cell>
          <cell r="C94" t="str">
            <v>VAR_fout</v>
          </cell>
          <cell r="D94" t="str">
            <v>RHNS_LTH_CHPNGA</v>
          </cell>
          <cell r="H94">
            <v>4.4446564474571727E-4</v>
          </cell>
          <cell r="I94">
            <v>9.9275126036574009E-4</v>
          </cell>
          <cell r="J94">
            <v>1.275328750342436E-4</v>
          </cell>
        </row>
        <row r="95">
          <cell r="B95" t="str">
            <v>RHNS-CHPGFC</v>
          </cell>
          <cell r="C95" t="str">
            <v>VAR_fout</v>
          </cell>
          <cell r="D95" t="str">
            <v>RHNS_NKEV_GAS_ELC_CHP</v>
          </cell>
          <cell r="H95">
            <v>3.9684432566581846E-4</v>
          </cell>
          <cell r="I95">
            <v>9.3655779279786834E-4</v>
          </cell>
          <cell r="J95">
            <v>1.275328750342436E-4</v>
          </cell>
        </row>
        <row r="96">
          <cell r="B96" t="str">
            <v>RHNS-CHPGFC</v>
          </cell>
          <cell r="C96" t="str">
            <v>VAR_fin</v>
          </cell>
          <cell r="D96" t="str">
            <v>RNGA</v>
          </cell>
          <cell r="H96">
            <v>9.4486744206147288E-4</v>
          </cell>
          <cell r="I96">
            <v>2.1285404381769738E-3</v>
          </cell>
          <cell r="J96">
            <v>2.8340638896498559E-4</v>
          </cell>
        </row>
        <row r="97">
          <cell r="B97" t="str">
            <v>RHNS-CHPGFC</v>
          </cell>
          <cell r="C97" t="str">
            <v>VAR_ncap</v>
          </cell>
          <cell r="D97" t="str">
            <v>-</v>
          </cell>
          <cell r="H97">
            <v>3.48456250349433E-5</v>
          </cell>
          <cell r="I97">
            <v>5.9975764694590599E-7</v>
          </cell>
          <cell r="J97">
            <v>7.7930224379826794E-8</v>
          </cell>
        </row>
        <row r="98">
          <cell r="B98" t="str">
            <v>RHNS-CHPGFC</v>
          </cell>
          <cell r="C98" t="str">
            <v>VAR_cap</v>
          </cell>
          <cell r="D98" t="str">
            <v>-</v>
          </cell>
          <cell r="H98">
            <v>3.48456250349433E-5</v>
          </cell>
          <cell r="I98">
            <v>8.0908177730884092E-5</v>
          </cell>
          <cell r="J98">
            <v>3.6242935571635438E-5</v>
          </cell>
        </row>
        <row r="99">
          <cell r="B99" t="str">
            <v>D-ENGA</v>
          </cell>
          <cell r="C99" t="str">
            <v>VAR_fout</v>
          </cell>
          <cell r="D99" t="str">
            <v>CO2</v>
          </cell>
          <cell r="E99">
            <v>312.29863575748698</v>
          </cell>
          <cell r="F99">
            <v>156.21784589363301</v>
          </cell>
          <cell r="G99">
            <v>197.04709411991601</v>
          </cell>
          <cell r="H99">
            <v>292.76549090933798</v>
          </cell>
          <cell r="I99">
            <v>106.79455137965201</v>
          </cell>
          <cell r="J99">
            <v>2.91986273351058E-3</v>
          </cell>
        </row>
        <row r="100">
          <cell r="B100" t="str">
            <v>D-ENGA</v>
          </cell>
          <cell r="C100" t="str">
            <v>VAR_fout</v>
          </cell>
          <cell r="D100" t="str">
            <v>ENGA</v>
          </cell>
          <cell r="E100">
            <v>5.7305327495667706</v>
          </cell>
          <cell r="F100">
            <v>2.7609319644282344</v>
          </cell>
          <cell r="G100">
            <v>3.4848201494898134</v>
          </cell>
          <cell r="H100">
            <v>6.434349487785977</v>
          </cell>
          <cell r="I100">
            <v>3.1474869844654534</v>
          </cell>
          <cell r="J100">
            <v>1.2598629248605016</v>
          </cell>
        </row>
        <row r="101">
          <cell r="B101" t="str">
            <v>D-ENGA</v>
          </cell>
          <cell r="C101" t="str">
            <v>VAR_fout</v>
          </cell>
          <cell r="D101" t="str">
            <v>EH2</v>
          </cell>
          <cell r="I101">
            <v>2.1571126514980943E-3</v>
          </cell>
          <cell r="J101">
            <v>1.6545074189657115E-3</v>
          </cell>
        </row>
        <row r="102">
          <cell r="B102" t="str">
            <v>D-ENGA</v>
          </cell>
          <cell r="C102" t="str">
            <v>VAR_fin</v>
          </cell>
          <cell r="D102" t="str">
            <v>NGA</v>
          </cell>
          <cell r="E102">
            <v>5.5372098538561545</v>
          </cell>
          <cell r="F102">
            <v>2.769819962653072</v>
          </cell>
          <cell r="G102">
            <v>3.4937428035446092</v>
          </cell>
          <cell r="H102">
            <v>5.1908774983925126</v>
          </cell>
          <cell r="I102">
            <v>1.8935204145328455</v>
          </cell>
          <cell r="J102">
            <v>5.1770615842386161E-5</v>
          </cell>
        </row>
        <row r="103">
          <cell r="B103" t="str">
            <v>D-ENGA</v>
          </cell>
          <cell r="C103" t="str">
            <v>VAR_fin</v>
          </cell>
          <cell r="D103" t="str">
            <v>BNGA</v>
          </cell>
          <cell r="E103">
            <v>0.21162976788241189</v>
          </cell>
          <cell r="F103">
            <v>3.3739332854529905E-5</v>
          </cell>
          <cell r="G103">
            <v>2.2146046020298659E-3</v>
          </cell>
          <cell r="H103">
            <v>1.2640394974169922</v>
          </cell>
          <cell r="I103">
            <v>1.264040286541106</v>
          </cell>
          <cell r="J103">
            <v>1.2640438708721782</v>
          </cell>
        </row>
        <row r="104">
          <cell r="B104" t="str">
            <v>D-ENGA</v>
          </cell>
          <cell r="C104" t="str">
            <v>VAR_fin</v>
          </cell>
          <cell r="D104" t="str">
            <v>H2</v>
          </cell>
          <cell r="I104">
            <v>2.1330961958839342E-3</v>
          </cell>
          <cell r="J104">
            <v>1.5746207516908676E-3</v>
          </cell>
        </row>
        <row r="105">
          <cell r="B105" t="str">
            <v>D-ENGA</v>
          </cell>
          <cell r="C105" t="str">
            <v>VAR_ncap</v>
          </cell>
          <cell r="D105" t="str">
            <v>-</v>
          </cell>
          <cell r="E105">
            <v>4.9073253551224798E-5</v>
          </cell>
          <cell r="F105">
            <v>1.2576143792679701E-6</v>
          </cell>
          <cell r="G105">
            <v>1.6155544565898801E-6</v>
          </cell>
          <cell r="H105">
            <v>2.3422180990684499E-6</v>
          </cell>
          <cell r="I105">
            <v>4.6743271244587302E-6</v>
          </cell>
          <cell r="J105">
            <v>7.6558412163346297E-6</v>
          </cell>
        </row>
        <row r="106">
          <cell r="B106" t="str">
            <v>D-ENGA</v>
          </cell>
          <cell r="C106" t="str">
            <v>VAR_cap</v>
          </cell>
          <cell r="D106" t="str">
            <v>-</v>
          </cell>
          <cell r="E106">
            <v>1.0275610677945313</v>
          </cell>
          <cell r="F106">
            <v>1.0275623254089106</v>
          </cell>
          <cell r="G106">
            <v>1.0275639409633672</v>
          </cell>
          <cell r="H106">
            <v>1.0275662831814663</v>
          </cell>
          <cell r="I106">
            <v>1.0275747604941727</v>
          </cell>
          <cell r="J106">
            <v>0.72474710310916901</v>
          </cell>
        </row>
        <row r="107">
          <cell r="B107" t="str">
            <v>D-ILFO</v>
          </cell>
          <cell r="C107" t="str">
            <v>VAR_fout</v>
          </cell>
          <cell r="D107" t="str">
            <v>CO2</v>
          </cell>
          <cell r="E107">
            <v>689.88023414805502</v>
          </cell>
          <cell r="F107">
            <v>659.57730291408404</v>
          </cell>
          <cell r="G107">
            <v>597.94327486664304</v>
          </cell>
          <cell r="H107">
            <v>470.79995173837898</v>
          </cell>
          <cell r="I107">
            <v>179.17851926010499</v>
          </cell>
          <cell r="J107">
            <v>1.14406678394213E-3</v>
          </cell>
        </row>
        <row r="108">
          <cell r="B108" t="str">
            <v>D-ILFO</v>
          </cell>
          <cell r="C108" t="str">
            <v>VAR_fout</v>
          </cell>
          <cell r="D108" t="str">
            <v>ILFO</v>
          </cell>
          <cell r="E108">
            <v>9.2043206276054761</v>
          </cell>
          <cell r="F108">
            <v>8.8000216185489357</v>
          </cell>
          <cell r="G108">
            <v>7.9778369597162406</v>
          </cell>
          <cell r="H108">
            <v>6.4443456259363234</v>
          </cell>
          <cell r="I108">
            <v>2.5535297935151133</v>
          </cell>
          <cell r="J108">
            <v>0.16298105915337227</v>
          </cell>
        </row>
        <row r="109">
          <cell r="B109" t="str">
            <v>D-ILFO</v>
          </cell>
          <cell r="C109" t="str">
            <v>VAR_fin</v>
          </cell>
          <cell r="D109" t="str">
            <v>LFO</v>
          </cell>
          <cell r="E109">
            <v>9.3606544660523099</v>
          </cell>
          <cell r="F109">
            <v>8.9494885062969374</v>
          </cell>
          <cell r="G109">
            <v>8.1132059004971833</v>
          </cell>
          <cell r="H109">
            <v>6.3880590466537166</v>
          </cell>
          <cell r="I109">
            <v>2.4311875069213684</v>
          </cell>
          <cell r="J109">
            <v>1.5523294219024791E-5</v>
          </cell>
        </row>
        <row r="110">
          <cell r="B110" t="str">
            <v>D-ILFO</v>
          </cell>
          <cell r="C110" t="str">
            <v>VAR_fin</v>
          </cell>
          <cell r="D110" t="str">
            <v>BDS</v>
          </cell>
          <cell r="G110">
            <v>1.3327876092408014E-4</v>
          </cell>
          <cell r="H110">
            <v>0.16574270632811991</v>
          </cell>
          <cell r="I110">
            <v>0.16574297825091508</v>
          </cell>
          <cell r="J110">
            <v>0.16574305829872341</v>
          </cell>
        </row>
        <row r="111">
          <cell r="B111" t="str">
            <v>HPLNGA</v>
          </cell>
          <cell r="C111" t="str">
            <v>VAR_fout</v>
          </cell>
          <cell r="D111" t="str">
            <v>LTH</v>
          </cell>
          <cell r="E111">
            <v>1.7329283713788006</v>
          </cell>
          <cell r="F111">
            <v>2.3569453217230709</v>
          </cell>
          <cell r="G111">
            <v>2.3524111692489869</v>
          </cell>
          <cell r="H111">
            <v>5.4947209267584931</v>
          </cell>
          <cell r="I111">
            <v>2.0567668102190648</v>
          </cell>
          <cell r="J111">
            <v>1.3690711400160344E-5</v>
          </cell>
        </row>
        <row r="112">
          <cell r="B112" t="str">
            <v>HPLNGA</v>
          </cell>
          <cell r="C112" t="str">
            <v>VAR_fout</v>
          </cell>
          <cell r="D112" t="str">
            <v>CO2_E</v>
          </cell>
          <cell r="E112">
            <v>114.385378837728</v>
          </cell>
          <cell r="F112">
            <v>155.574856974959</v>
          </cell>
          <cell r="G112">
            <v>155.275571235847</v>
          </cell>
          <cell r="H112">
            <v>362.68996756905</v>
          </cell>
          <cell r="I112">
            <v>135.76097815317499</v>
          </cell>
          <cell r="J112">
            <v>9.0368259642454305E-4</v>
          </cell>
        </row>
        <row r="113">
          <cell r="B113" t="str">
            <v>HPLNGA</v>
          </cell>
          <cell r="C113" t="str">
            <v>VAR_fin</v>
          </cell>
          <cell r="D113" t="str">
            <v>ENGA</v>
          </cell>
          <cell r="E113">
            <v>2.0281095538604341</v>
          </cell>
          <cell r="F113">
            <v>2.7584194499106163</v>
          </cell>
          <cell r="G113">
            <v>2.7531129651745889</v>
          </cell>
          <cell r="H113">
            <v>6.4306731838484055</v>
          </cell>
          <cell r="I113">
            <v>2.4071095417229547</v>
          </cell>
          <cell r="J113">
            <v>1.6022741071357149E-5</v>
          </cell>
        </row>
        <row r="114">
          <cell r="B114" t="str">
            <v>HPLNGA</v>
          </cell>
          <cell r="C114" t="str">
            <v>VAR_ncap</v>
          </cell>
          <cell r="D114" t="str">
            <v>-</v>
          </cell>
          <cell r="E114">
            <v>3.5217482807258703E-5</v>
          </cell>
          <cell r="F114">
            <v>2.2065873738010301E-5</v>
          </cell>
          <cell r="G114">
            <v>4.9048127153340701E-5</v>
          </cell>
          <cell r="H114">
            <v>0.56201429835732097</v>
          </cell>
          <cell r="I114">
            <v>1.14151914020291E-5</v>
          </cell>
          <cell r="J114">
            <v>8.41632763247126E-6</v>
          </cell>
        </row>
        <row r="115">
          <cell r="B115" t="str">
            <v>HPLNGA</v>
          </cell>
          <cell r="C115" t="str">
            <v>VAR_cap</v>
          </cell>
          <cell r="D115" t="str">
            <v>-</v>
          </cell>
          <cell r="E115">
            <v>0.30050778436244718</v>
          </cell>
          <cell r="F115">
            <v>0.29989963794681229</v>
          </cell>
          <cell r="G115">
            <v>0.29992134781731161</v>
          </cell>
          <cell r="H115">
            <v>0.69695472138464698</v>
          </cell>
          <cell r="I115">
            <v>0.33346073235280399</v>
          </cell>
          <cell r="J115">
            <v>2.4639027835329785E-3</v>
          </cell>
        </row>
        <row r="116">
          <cell r="B116" t="str">
            <v>G-INTC-IMP00-AT</v>
          </cell>
          <cell r="C116" t="str">
            <v>VAR_fout</v>
          </cell>
          <cell r="D116" t="str">
            <v>ELC</v>
          </cell>
          <cell r="E116">
            <v>15.013827692184012</v>
          </cell>
          <cell r="F116">
            <v>1.0953768841845941</v>
          </cell>
          <cell r="G116">
            <v>0.60007686758916845</v>
          </cell>
          <cell r="H116">
            <v>0.77180831292977747</v>
          </cell>
          <cell r="I116">
            <v>0.58026356181615313</v>
          </cell>
          <cell r="J116">
            <v>0.68247806031119951</v>
          </cell>
        </row>
        <row r="117">
          <cell r="B117" t="str">
            <v>G-INTC-IMP00-AT</v>
          </cell>
          <cell r="C117" t="str">
            <v>VAR_fin</v>
          </cell>
          <cell r="D117" t="str">
            <v>ELC_I-AT</v>
          </cell>
          <cell r="E117">
            <v>15.013827692184012</v>
          </cell>
          <cell r="F117">
            <v>1.0953768841845941</v>
          </cell>
          <cell r="G117">
            <v>0.60007686758916845</v>
          </cell>
          <cell r="H117">
            <v>0.77180831292977747</v>
          </cell>
          <cell r="I117">
            <v>0.58026356181615313</v>
          </cell>
          <cell r="J117">
            <v>0.68247806031119951</v>
          </cell>
        </row>
        <row r="118">
          <cell r="B118" t="str">
            <v>G-INTC-IMP00-AT</v>
          </cell>
          <cell r="C118" t="str">
            <v>VAR_ncap</v>
          </cell>
          <cell r="D118" t="str">
            <v>-</v>
          </cell>
          <cell r="E118">
            <v>6.1257044307411105E-7</v>
          </cell>
          <cell r="F118">
            <v>4.9881060972028902E-7</v>
          </cell>
          <cell r="G118">
            <v>4.8171927199678096E-7</v>
          </cell>
          <cell r="H118">
            <v>4.13859960755896E-7</v>
          </cell>
          <cell r="I118">
            <v>2.2262482083488499E-7</v>
          </cell>
          <cell r="J118">
            <v>3.5758265733684002E-7</v>
          </cell>
        </row>
        <row r="119">
          <cell r="B119" t="str">
            <v>G-INTC-IMP00-AT</v>
          </cell>
          <cell r="C119" t="str">
            <v>VAR_cap</v>
          </cell>
          <cell r="D119" t="str">
            <v>-</v>
          </cell>
          <cell r="E119">
            <v>0.56822192778611791</v>
          </cell>
          <cell r="F119">
            <v>0.11936051873753994</v>
          </cell>
          <cell r="G119">
            <v>0.11934883351350001</v>
          </cell>
          <cell r="H119">
            <v>0.11934693963606202</v>
          </cell>
          <cell r="I119">
            <v>0.1193451174773954</v>
          </cell>
          <cell r="J119">
            <v>0.11934458733306563</v>
          </cell>
        </row>
        <row r="120">
          <cell r="B120" t="str">
            <v>CHPWST</v>
          </cell>
          <cell r="C120" t="str">
            <v>VAR_fout</v>
          </cell>
          <cell r="D120" t="str">
            <v>ELC35</v>
          </cell>
          <cell r="E120">
            <v>1.4349628374101573</v>
          </cell>
          <cell r="F120">
            <v>1.2995363058938938</v>
          </cell>
          <cell r="G120">
            <v>1.2158320170595374</v>
          </cell>
          <cell r="H120">
            <v>1.2901775372882422</v>
          </cell>
          <cell r="I120">
            <v>1.2954486103937604</v>
          </cell>
          <cell r="J120">
            <v>0.5074629810777409</v>
          </cell>
        </row>
        <row r="121">
          <cell r="B121" t="str">
            <v>CHPWST</v>
          </cell>
          <cell r="C121" t="str">
            <v>VAR_fout</v>
          </cell>
          <cell r="D121" t="str">
            <v>LTH</v>
          </cell>
          <cell r="E121">
            <v>14.461287862316796</v>
          </cell>
          <cell r="F121">
            <v>13.051657193241693</v>
          </cell>
          <cell r="G121">
            <v>12.148078391774819</v>
          </cell>
          <cell r="H121">
            <v>12.779646053112169</v>
          </cell>
          <cell r="I121">
            <v>12.154766253962116</v>
          </cell>
          <cell r="J121">
            <v>4.4961220123487822</v>
          </cell>
        </row>
        <row r="122">
          <cell r="B122" t="str">
            <v>CHPWST</v>
          </cell>
          <cell r="C122" t="str">
            <v>VAR_fout</v>
          </cell>
          <cell r="D122" t="str">
            <v>CO2_E</v>
          </cell>
          <cell r="E122">
            <v>2843.2610030832402</v>
          </cell>
          <cell r="F122">
            <v>2574.92445400719</v>
          </cell>
          <cell r="G122">
            <v>2409.0712806503998</v>
          </cell>
          <cell r="H122">
            <v>2556.3808226882402</v>
          </cell>
          <cell r="I122">
            <v>2566.82502111248</v>
          </cell>
          <cell r="J122">
            <v>1005.49621703847</v>
          </cell>
        </row>
        <row r="123">
          <cell r="B123" t="str">
            <v>CHPWST</v>
          </cell>
          <cell r="C123" t="str">
            <v>VAR_fin</v>
          </cell>
          <cell r="D123" t="str">
            <v>EWST</v>
          </cell>
          <cell r="E123">
            <v>30.638588395293546</v>
          </cell>
          <cell r="F123">
            <v>27.747030754387829</v>
          </cell>
          <cell r="G123">
            <v>25.959819834594832</v>
          </cell>
          <cell r="H123">
            <v>27.547207141037081</v>
          </cell>
          <cell r="I123">
            <v>27.659752382677592</v>
          </cell>
          <cell r="J123">
            <v>10.835088545673225</v>
          </cell>
        </row>
        <row r="124">
          <cell r="B124" t="str">
            <v>CHPWST</v>
          </cell>
          <cell r="C124" t="str">
            <v>VAR_ncap</v>
          </cell>
          <cell r="D124" t="str">
            <v>-</v>
          </cell>
          <cell r="F124">
            <v>3.3446430668030499E-7</v>
          </cell>
          <cell r="G124">
            <v>3.04704233580749E-7</v>
          </cell>
          <cell r="H124">
            <v>1.0379293780389001E-6</v>
          </cell>
          <cell r="I124">
            <v>2.0305373233698101E-2</v>
          </cell>
          <cell r="J124">
            <v>1.3221366043398501E-7</v>
          </cell>
        </row>
        <row r="125">
          <cell r="B125" t="str">
            <v>CHPWST</v>
          </cell>
          <cell r="C125" t="str">
            <v>VAR_cap</v>
          </cell>
          <cell r="D125" t="str">
            <v>-</v>
          </cell>
          <cell r="E125">
            <v>7.839986330717108E-2</v>
          </cell>
          <cell r="F125">
            <v>7.1002323319369356E-2</v>
          </cell>
          <cell r="G125">
            <v>7.0490522526765659E-2</v>
          </cell>
          <cell r="H125">
            <v>7.049017559743663E-2</v>
          </cell>
          <cell r="I125">
            <v>7.077784321447525E-2</v>
          </cell>
          <cell r="J125">
            <v>4.2503513214401469E-2</v>
          </cell>
        </row>
        <row r="126">
          <cell r="B126" t="str">
            <v>RHES-CHPNGA</v>
          </cell>
          <cell r="C126" t="str">
            <v>VAR_fout</v>
          </cell>
          <cell r="D126" t="str">
            <v>CO2_R</v>
          </cell>
          <cell r="E126">
            <v>5.3664365133779803</v>
          </cell>
          <cell r="F126">
            <v>0.27453816128700498</v>
          </cell>
          <cell r="G126">
            <v>1.12691093107785</v>
          </cell>
          <cell r="H126">
            <v>1.1994414589962901</v>
          </cell>
          <cell r="I126">
            <v>0.44077243805181698</v>
          </cell>
          <cell r="J126">
            <v>1.3902238815554401E-2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RHES_NKEV_GAS_ELC_CHP</v>
          </cell>
          <cell r="E127">
            <v>1.715132581415562E-2</v>
          </cell>
          <cell r="F127">
            <v>1.3138863491772995E-3</v>
          </cell>
          <cell r="G127">
            <v>3.8837300256746054E-3</v>
          </cell>
          <cell r="H127">
            <v>5.1769116349357465E-3</v>
          </cell>
          <cell r="I127">
            <v>2.2040888500008959E-3</v>
          </cell>
          <cell r="J127">
            <v>5.8477664442313306E-5</v>
          </cell>
        </row>
        <row r="128">
          <cell r="B128" t="str">
            <v>RHES-CHPNGA</v>
          </cell>
          <cell r="C128" t="str">
            <v>VAR_fout</v>
          </cell>
          <cell r="D128" t="str">
            <v>RHES_LTH_CHPNGA</v>
          </cell>
          <cell r="E128">
            <v>4.1290228811856212E-2</v>
          </cell>
          <cell r="F128">
            <v>3.131081543224638E-3</v>
          </cell>
          <cell r="G128">
            <v>9.1134088168607907E-3</v>
          </cell>
          <cell r="H128">
            <v>1.1832940879853157E-2</v>
          </cell>
          <cell r="I128">
            <v>4.9495328561423657E-3</v>
          </cell>
          <cell r="J128">
            <v>1.2703768482295657E-4</v>
          </cell>
        </row>
        <row r="129">
          <cell r="B129" t="str">
            <v>RHES-CHPNGA</v>
          </cell>
          <cell r="C129" t="str">
            <v>VAR_fin</v>
          </cell>
          <cell r="D129" t="str">
            <v>RNGA</v>
          </cell>
          <cell r="E129">
            <v>9.5149583570531687E-2</v>
          </cell>
          <cell r="F129">
            <v>4.867697895159652E-3</v>
          </cell>
          <cell r="G129">
            <v>1.9980690267337699E-2</v>
          </cell>
          <cell r="H129">
            <v>2.1266692535395162E-2</v>
          </cell>
          <cell r="I129">
            <v>7.8151141498549147E-3</v>
          </cell>
          <cell r="J129">
            <v>2.4649359602046841E-4</v>
          </cell>
        </row>
        <row r="130">
          <cell r="B130" t="str">
            <v>RHES-CHPNGA</v>
          </cell>
          <cell r="C130" t="str">
            <v>VAR_ncap</v>
          </cell>
          <cell r="D130" t="str">
            <v>-</v>
          </cell>
          <cell r="F130">
            <v>3.1051323767711002E-7</v>
          </cell>
          <cell r="G130">
            <v>4.4704250436923197E-5</v>
          </cell>
          <cell r="H130">
            <v>2.76939703379447E-5</v>
          </cell>
          <cell r="I130">
            <v>5.8464781253485702E-6</v>
          </cell>
          <cell r="J130">
            <v>8.1962017590765401E-7</v>
          </cell>
        </row>
        <row r="131">
          <cell r="B131" t="str">
            <v>RHES-CHPNGA</v>
          </cell>
          <cell r="C131" t="str">
            <v>VAR_cap</v>
          </cell>
          <cell r="D131" t="str">
            <v>-</v>
          </cell>
          <cell r="E131">
            <v>4.1525701586821121E-3</v>
          </cell>
          <cell r="F131">
            <v>3.9167026497637699E-4</v>
          </cell>
          <cell r="G131">
            <v>4.3551025056574628E-4</v>
          </cell>
          <cell r="H131">
            <v>4.599402550780889E-4</v>
          </cell>
          <cell r="I131">
            <v>2.04447467083542E-4</v>
          </cell>
          <cell r="J131">
            <v>1.6937996746977677E-5</v>
          </cell>
        </row>
        <row r="132">
          <cell r="B132" t="str">
            <v>RHEM-CHPWOD</v>
          </cell>
          <cell r="C132" t="str">
            <v>VAR_fout</v>
          </cell>
          <cell r="D132" t="str">
            <v>RHEM_KEV_WOD_ELC_CHP</v>
          </cell>
          <cell r="H132">
            <v>7.143413545578224E-4</v>
          </cell>
          <cell r="I132">
            <v>4.4287710181534803E-4</v>
          </cell>
          <cell r="J132">
            <v>7.7032953549379529E-4</v>
          </cell>
        </row>
        <row r="133">
          <cell r="B133" t="str">
            <v>RHEM-CHPWOD</v>
          </cell>
          <cell r="C133" t="str">
            <v>VAR_fout</v>
          </cell>
          <cell r="D133" t="str">
            <v>RHEM_LTH_CHPWOD</v>
          </cell>
          <cell r="H133">
            <v>1.900218381582387E-3</v>
          </cell>
          <cell r="I133">
            <v>1.1780967240408282E-3</v>
          </cell>
          <cell r="J133">
            <v>2.049152458949014E-3</v>
          </cell>
        </row>
        <row r="134">
          <cell r="B134" t="str">
            <v>RHEM-CHPWOD</v>
          </cell>
          <cell r="C134" t="str">
            <v>VAR_fin</v>
          </cell>
          <cell r="D134" t="str">
            <v>RWOD</v>
          </cell>
          <cell r="H134">
            <v>4.9644551925237413E-3</v>
          </cell>
          <cell r="I134">
            <v>1.8652443089549303E-3</v>
          </cell>
          <cell r="J134">
            <v>2.7260446909251387E-3</v>
          </cell>
        </row>
        <row r="135">
          <cell r="B135" t="str">
            <v>RHEM-CHPWOD</v>
          </cell>
          <cell r="C135" t="str">
            <v>VAR_ncap</v>
          </cell>
          <cell r="D135" t="str">
            <v>-</v>
          </cell>
          <cell r="H135">
            <v>8.3708229221233105E-5</v>
          </cell>
          <cell r="I135">
            <v>6.57087371051675E-7</v>
          </cell>
          <cell r="J135">
            <v>5.3803409163241503E-5</v>
          </cell>
        </row>
        <row r="136">
          <cell r="B136" t="str">
            <v>RHEM-CHPWOD</v>
          </cell>
          <cell r="C136" t="str">
            <v>VAR_cap</v>
          </cell>
          <cell r="D136" t="str">
            <v>-</v>
          </cell>
          <cell r="H136">
            <v>8.3708229221233105E-5</v>
          </cell>
          <cell r="I136">
            <v>1.0284194279825879E-4</v>
          </cell>
          <cell r="J136">
            <v>7.3642226558012555E-5</v>
          </cell>
        </row>
        <row r="137">
          <cell r="B137" t="str">
            <v>G-INTC-IMP00-FR</v>
          </cell>
          <cell r="C137" t="str">
            <v>VAR_fout</v>
          </cell>
          <cell r="D137" t="str">
            <v>ELC</v>
          </cell>
          <cell r="E137">
            <v>28.948642347132356</v>
          </cell>
          <cell r="F137">
            <v>21.260067647473043</v>
          </cell>
          <cell r="G137">
            <v>25.967110960254885</v>
          </cell>
          <cell r="H137">
            <v>17.911748406232611</v>
          </cell>
          <cell r="I137">
            <v>11.597881634919071</v>
          </cell>
          <cell r="J137">
            <v>9.0819617670013457</v>
          </cell>
        </row>
        <row r="138">
          <cell r="B138" t="str">
            <v>G-INTC-IMP00-FR</v>
          </cell>
          <cell r="C138" t="str">
            <v>VAR_fin</v>
          </cell>
          <cell r="D138" t="str">
            <v>ELC_I-FR</v>
          </cell>
          <cell r="E138">
            <v>28.948642347132356</v>
          </cell>
          <cell r="F138">
            <v>21.260067647473043</v>
          </cell>
          <cell r="G138">
            <v>25.967110960254885</v>
          </cell>
          <cell r="H138">
            <v>17.911748406232611</v>
          </cell>
          <cell r="I138">
            <v>11.597881634919071</v>
          </cell>
          <cell r="J138">
            <v>9.0819617670013457</v>
          </cell>
        </row>
        <row r="139">
          <cell r="B139" t="str">
            <v>G-INTC-IMP00-FR</v>
          </cell>
          <cell r="C139" t="str">
            <v>VAR_ncap</v>
          </cell>
          <cell r="D139" t="str">
            <v>-</v>
          </cell>
          <cell r="E139">
            <v>7.6392568772556504E-7</v>
          </cell>
          <cell r="F139">
            <v>6.0557159103872597E-7</v>
          </cell>
          <cell r="G139">
            <v>5.3842239072704799E-7</v>
          </cell>
          <cell r="H139">
            <v>4.5243452032946698E-7</v>
          </cell>
          <cell r="I139">
            <v>2.1691739473127E-7</v>
          </cell>
          <cell r="J139">
            <v>3.4576958722766598E-7</v>
          </cell>
        </row>
        <row r="140">
          <cell r="B140" t="str">
            <v>G-INTC-IMP00-FR</v>
          </cell>
          <cell r="C140" t="str">
            <v>VAR_cap</v>
          </cell>
          <cell r="D140" t="str">
            <v>-</v>
          </cell>
          <cell r="E140">
            <v>1.6999968060292685</v>
          </cell>
          <cell r="F140">
            <v>1.6999942930572605</v>
          </cell>
          <cell r="G140">
            <v>1.6999931091859584</v>
          </cell>
          <cell r="H140">
            <v>1.6999926481911438</v>
          </cell>
          <cell r="I140">
            <v>1.1999999223555928</v>
          </cell>
          <cell r="J140">
            <v>1.1999988477566261</v>
          </cell>
        </row>
        <row r="141">
          <cell r="B141" t="str">
            <v>ITOT-CHPWSTCCS</v>
          </cell>
          <cell r="C141" t="str">
            <v>VAR_fout</v>
          </cell>
          <cell r="D141" t="str">
            <v>CO2_O</v>
          </cell>
          <cell r="I141">
            <v>3.4905463020559274E-2</v>
          </cell>
          <cell r="J141">
            <v>722.30819391589989</v>
          </cell>
        </row>
        <row r="142">
          <cell r="B142" t="str">
            <v>ITOT-CHPWSTCCS</v>
          </cell>
          <cell r="C142" t="str">
            <v>VAR_fout</v>
          </cell>
          <cell r="D142" t="str">
            <v>CO2</v>
          </cell>
          <cell r="I142">
            <v>-3.4905463020559302E-2</v>
          </cell>
          <cell r="J142">
            <v>-722.30819391590001</v>
          </cell>
        </row>
        <row r="143">
          <cell r="B143" t="str">
            <v>ITOT-CHPWSTCCS</v>
          </cell>
          <cell r="C143" t="str">
            <v>VAR_fout</v>
          </cell>
          <cell r="D143" t="str">
            <v>ITOT_LTH_CHP</v>
          </cell>
          <cell r="I143">
            <v>1.3907906280702639E-4</v>
          </cell>
          <cell r="J143">
            <v>2.0314103524907026</v>
          </cell>
        </row>
        <row r="144">
          <cell r="B144" t="str">
            <v>ITOT-CHPWSTCCS</v>
          </cell>
          <cell r="C144" t="str">
            <v>VAR_fout</v>
          </cell>
          <cell r="D144" t="str">
            <v>ITOT_KEV_WST_ELC_CHP</v>
          </cell>
          <cell r="I144">
            <v>2.7458636478782345E-5</v>
          </cell>
          <cell r="J144">
            <v>0.59883911058233219</v>
          </cell>
        </row>
        <row r="145">
          <cell r="B145" t="str">
            <v>ITOT-CHPWSTCCS</v>
          </cell>
          <cell r="C145" t="str">
            <v>VAR_fout</v>
          </cell>
          <cell r="D145" t="str">
            <v>CO2_I</v>
          </cell>
          <cell r="I145">
            <v>4.5686129139274598E-2</v>
          </cell>
          <cell r="J145">
            <v>996.35832102782103</v>
          </cell>
        </row>
        <row r="146">
          <cell r="B146" t="str">
            <v>ITOT-CHPWSTCCS</v>
          </cell>
          <cell r="C146" t="str">
            <v>VAR_fin</v>
          </cell>
          <cell r="D146" t="str">
            <v>IWST</v>
          </cell>
          <cell r="I146">
            <v>4.9230742606977006E-4</v>
          </cell>
          <cell r="J146">
            <v>10.736619838661843</v>
          </cell>
        </row>
        <row r="147">
          <cell r="B147" t="str">
            <v>ITOT-CHPWSTCCS</v>
          </cell>
          <cell r="C147" t="str">
            <v>VAR_ncap</v>
          </cell>
          <cell r="D147" t="str">
            <v>-</v>
          </cell>
          <cell r="I147">
            <v>7.2130096980904399E-6</v>
          </cell>
          <cell r="J147">
            <v>6.0458929776736198E-2</v>
          </cell>
        </row>
        <row r="148">
          <cell r="B148" t="str">
            <v>ITOT-CHPWSTCCS</v>
          </cell>
          <cell r="C148" t="str">
            <v>VAR_cap</v>
          </cell>
          <cell r="D148" t="str">
            <v>-</v>
          </cell>
          <cell r="I148">
            <v>7.2130096980904399E-6</v>
          </cell>
          <cell r="J148">
            <v>6.0466060787934608E-2</v>
          </cell>
        </row>
        <row r="149">
          <cell r="B149" t="str">
            <v>RHEM-CHPGFC</v>
          </cell>
          <cell r="C149" t="str">
            <v>VAR_fout</v>
          </cell>
          <cell r="D149" t="str">
            <v>CO2_R</v>
          </cell>
          <cell r="H149">
            <v>0.28833205379856902</v>
          </cell>
          <cell r="I149">
            <v>71.208539207611295</v>
          </cell>
          <cell r="J149">
            <v>1.8951042510271101E-2</v>
          </cell>
        </row>
        <row r="150">
          <cell r="B150" t="str">
            <v>RHEM-CHPGFC</v>
          </cell>
          <cell r="C150" t="str">
            <v>VAR_fout</v>
          </cell>
          <cell r="D150" t="str">
            <v>RHEM_LTH_CHPNGA</v>
          </cell>
          <cell r="H150">
            <v>2.4048120231710433E-3</v>
          </cell>
          <cell r="I150">
            <v>0.58885926748989159</v>
          </cell>
          <cell r="J150">
            <v>1.512051264117374E-4</v>
          </cell>
        </row>
        <row r="151">
          <cell r="B151" t="str">
            <v>RHEM-CHPGFC</v>
          </cell>
          <cell r="C151" t="str">
            <v>VAR_fout</v>
          </cell>
          <cell r="D151" t="str">
            <v>RHEM_NKEV_GAS_ELC_CHP</v>
          </cell>
          <cell r="H151">
            <v>2.1471535921170032E-3</v>
          </cell>
          <cell r="I151">
            <v>0.55552761083952029</v>
          </cell>
          <cell r="J151">
            <v>1.512051264117374E-4</v>
          </cell>
        </row>
        <row r="152">
          <cell r="B152" t="str">
            <v>RHEM-CHPGFC</v>
          </cell>
          <cell r="C152" t="str">
            <v>VAR_fin</v>
          </cell>
          <cell r="D152" t="str">
            <v>RNGA</v>
          </cell>
          <cell r="H152">
            <v>5.1122704574214379E-3</v>
          </cell>
          <cell r="I152">
            <v>1.2625627519080007</v>
          </cell>
          <cell r="J152">
            <v>3.3601139202608292E-4</v>
          </cell>
        </row>
        <row r="153">
          <cell r="B153" t="str">
            <v>RHEM-CHPGFC</v>
          </cell>
          <cell r="C153" t="str">
            <v>VAR_ncap</v>
          </cell>
          <cell r="D153" t="str">
            <v>-</v>
          </cell>
          <cell r="H153">
            <v>1.9070917753919001E-4</v>
          </cell>
          <cell r="I153">
            <v>4.51754519367032E-2</v>
          </cell>
          <cell r="J153">
            <v>2.7098202153293998E-7</v>
          </cell>
        </row>
        <row r="154">
          <cell r="B154" t="str">
            <v>RHEM-CHPGFC</v>
          </cell>
          <cell r="C154" t="str">
            <v>VAR_cap</v>
          </cell>
          <cell r="D154" t="str">
            <v>-</v>
          </cell>
          <cell r="H154">
            <v>1.9070917753919001E-4</v>
          </cell>
          <cell r="I154">
            <v>5.4608442704879807E-2</v>
          </cell>
          <cell r="J154">
            <v>9.8102633197698352E-5</v>
          </cell>
        </row>
        <row r="155">
          <cell r="B155" t="str">
            <v>EHYD-RUNS10</v>
          </cell>
          <cell r="C155" t="str">
            <v>VAR_fout</v>
          </cell>
          <cell r="D155" t="str">
            <v>ELC35</v>
          </cell>
          <cell r="F155">
            <v>2.5093916733947433E-3</v>
          </cell>
          <cell r="G155">
            <v>2.4720019224284558E-3</v>
          </cell>
          <cell r="H155">
            <v>2.4733746981065239E-3</v>
          </cell>
          <cell r="I155">
            <v>2.7236140202559311E-3</v>
          </cell>
          <cell r="J155">
            <v>2.6986723507978292E-3</v>
          </cell>
        </row>
        <row r="156">
          <cell r="B156" t="str">
            <v>EHYD-RUNS10</v>
          </cell>
          <cell r="C156" t="str">
            <v>VAR_fin</v>
          </cell>
          <cell r="D156" t="str">
            <v>HYDR</v>
          </cell>
          <cell r="F156">
            <v>2.5093916733947433E-3</v>
          </cell>
          <cell r="G156">
            <v>2.4720019224284558E-3</v>
          </cell>
          <cell r="H156">
            <v>2.4733746981065239E-3</v>
          </cell>
          <cell r="I156">
            <v>2.7236140202559311E-3</v>
          </cell>
          <cell r="J156">
            <v>2.6986723507978292E-3</v>
          </cell>
        </row>
        <row r="157">
          <cell r="B157" t="str">
            <v>EHYD-RUNS10</v>
          </cell>
          <cell r="C157" t="str">
            <v>VAR_ncap</v>
          </cell>
          <cell r="D157" t="str">
            <v>-</v>
          </cell>
          <cell r="F157">
            <v>2.26633898672338E-4</v>
          </cell>
          <cell r="G157">
            <v>4.3024259485871401E-7</v>
          </cell>
          <cell r="H157">
            <v>3.8337162213050597E-8</v>
          </cell>
          <cell r="I157">
            <v>1.0771926170072601E-8</v>
          </cell>
          <cell r="J157">
            <v>1.40950838471325E-8</v>
          </cell>
        </row>
        <row r="158">
          <cell r="B158" t="str">
            <v>EHYD-RUNS10</v>
          </cell>
          <cell r="C158" t="str">
            <v>VAR_cap</v>
          </cell>
          <cell r="D158" t="str">
            <v>-</v>
          </cell>
          <cell r="F158">
            <v>2.26633898672338E-4</v>
          </cell>
          <cell r="G158">
            <v>2.2706414126719699E-4</v>
          </cell>
          <cell r="H158">
            <v>2.2710247842940999E-4</v>
          </cell>
          <cell r="I158">
            <v>2.27131994059824E-4</v>
          </cell>
          <cell r="J158">
            <v>2.27146089143671E-4</v>
          </cell>
        </row>
        <row r="159">
          <cell r="B159" t="str">
            <v>SUP_WSTBIO</v>
          </cell>
          <cell r="C159" t="str">
            <v>VAR_fout</v>
          </cell>
          <cell r="D159" t="str">
            <v>ELC35</v>
          </cell>
          <cell r="E159">
            <v>0.11258845860630171</v>
          </cell>
          <cell r="F159">
            <v>0.12476482829540161</v>
          </cell>
          <cell r="G159">
            <v>0.12058133311466235</v>
          </cell>
          <cell r="H159">
            <v>0.12437536167998826</v>
          </cell>
          <cell r="I159">
            <v>1.6822314074127101E-3</v>
          </cell>
          <cell r="J159">
            <v>2.930387574300299E-6</v>
          </cell>
        </row>
        <row r="160">
          <cell r="B160" t="str">
            <v>SUP_WSTBIO</v>
          </cell>
          <cell r="C160" t="str">
            <v>VAR_fout</v>
          </cell>
          <cell r="D160" t="str">
            <v>BIO</v>
          </cell>
          <cell r="E160">
            <v>5.6294229303150836</v>
          </cell>
          <cell r="F160">
            <v>6.2382414147700818</v>
          </cell>
          <cell r="G160">
            <v>6.0290666557331196</v>
          </cell>
          <cell r="H160">
            <v>6.2187680839994064</v>
          </cell>
          <cell r="I160">
            <v>8.411157037063545E-2</v>
          </cell>
          <cell r="J160">
            <v>1.6822816325738185E-4</v>
          </cell>
        </row>
        <row r="161">
          <cell r="B161" t="str">
            <v>SUP_WSTBIO</v>
          </cell>
          <cell r="C161" t="str">
            <v>VAR_fin</v>
          </cell>
          <cell r="D161" t="str">
            <v>CWST</v>
          </cell>
          <cell r="E161">
            <v>9.6793906270389094</v>
          </cell>
          <cell r="F161">
            <v>10.726210524024664</v>
          </cell>
          <cell r="G161">
            <v>10.366549466914821</v>
          </cell>
          <cell r="H161">
            <v>10.692727522716694</v>
          </cell>
          <cell r="I161">
            <v>0.1446238372829953</v>
          </cell>
          <cell r="J161">
            <v>2.8925631042369266E-4</v>
          </cell>
        </row>
        <row r="162">
          <cell r="B162" t="str">
            <v>SUP_WSTBIO</v>
          </cell>
          <cell r="C162" t="str">
            <v>VAR_ncap</v>
          </cell>
          <cell r="D162" t="str">
            <v>-</v>
          </cell>
          <cell r="E162">
            <v>4.1121725061207502E-3</v>
          </cell>
          <cell r="F162">
            <v>2.2989748496898801E-2</v>
          </cell>
          <cell r="G162">
            <v>3.9633492978116704E-6</v>
          </cell>
          <cell r="H162">
            <v>7.6398848865921104E-2</v>
          </cell>
          <cell r="I162">
            <v>8.3696479562938601E-7</v>
          </cell>
          <cell r="J162">
            <v>6.8023931402129002E-7</v>
          </cell>
        </row>
        <row r="163">
          <cell r="B163" t="str">
            <v>SUP_WSTBIO</v>
          </cell>
          <cell r="C163" t="str">
            <v>VAR_cap</v>
          </cell>
          <cell r="D163" t="str">
            <v>-</v>
          </cell>
          <cell r="E163">
            <v>0.21268082357873219</v>
          </cell>
          <cell r="F163">
            <v>0.23566838664813108</v>
          </cell>
          <cell r="G163">
            <v>0.22777811381431914</v>
          </cell>
          <cell r="H163">
            <v>0.23493213584258096</v>
          </cell>
          <cell r="I163">
            <v>3.1906040480309816E-3</v>
          </cell>
          <cell r="J163">
            <v>1.1139591223999212E-4</v>
          </cell>
        </row>
        <row r="164">
          <cell r="B164" t="str">
            <v>ITOT-CHPNGACCS</v>
          </cell>
          <cell r="C164" t="str">
            <v>VAR_fout</v>
          </cell>
          <cell r="D164" t="str">
            <v>CO2_O</v>
          </cell>
          <cell r="I164">
            <v>4.7855551046271191E-2</v>
          </cell>
          <cell r="J164">
            <v>8.0504061188859458E-2</v>
          </cell>
        </row>
        <row r="165">
          <cell r="B165" t="str">
            <v>ITOT-CHPNGACCS</v>
          </cell>
          <cell r="C165" t="str">
            <v>VAR_fout</v>
          </cell>
          <cell r="D165" t="str">
            <v>CO2</v>
          </cell>
          <cell r="I165">
            <v>-4.7855551046271101E-2</v>
          </cell>
          <cell r="J165">
            <v>-8.0504061188859499E-2</v>
          </cell>
        </row>
        <row r="166">
          <cell r="B166" t="str">
            <v>ITOT-CHPNGACCS</v>
          </cell>
          <cell r="C166" t="str">
            <v>VAR_fout</v>
          </cell>
          <cell r="D166" t="str">
            <v>ITOT_NKEV_GAS_ELC_CHP</v>
          </cell>
          <cell r="I166">
            <v>3.0889310978946178E-4</v>
          </cell>
          <cell r="J166">
            <v>5.1962936937585593E-4</v>
          </cell>
        </row>
        <row r="167">
          <cell r="B167" t="str">
            <v>ITOT-CHPNGACCS</v>
          </cell>
          <cell r="C167" t="str">
            <v>VAR_fout</v>
          </cell>
          <cell r="D167" t="str">
            <v>ITOT_LTH_CHP</v>
          </cell>
          <cell r="I167">
            <v>3.4985483723713246E-4</v>
          </cell>
          <cell r="J167">
            <v>5.7432719773121087E-4</v>
          </cell>
        </row>
        <row r="168">
          <cell r="B168" t="str">
            <v>ITOT-CHPNGACCS</v>
          </cell>
          <cell r="C168" t="str">
            <v>VAR_fout</v>
          </cell>
          <cell r="D168" t="str">
            <v>CO2_I</v>
          </cell>
          <cell r="I168">
            <v>5.9986454677123498E-2</v>
          </cell>
          <cell r="J168">
            <v>9.4249402034177795E-2</v>
          </cell>
        </row>
        <row r="169">
          <cell r="B169" t="str">
            <v>ITOT-CHPNGACCS</v>
          </cell>
          <cell r="C169" t="str">
            <v>VAR_fin</v>
          </cell>
          <cell r="D169" t="str">
            <v>INGA</v>
          </cell>
          <cell r="I169">
            <v>1.0635896219348133E-3</v>
          </cell>
          <cell r="J169">
            <v>1.67108868854925E-3</v>
          </cell>
        </row>
        <row r="170">
          <cell r="B170" t="str">
            <v>ITOT-CHPNGACCS</v>
          </cell>
          <cell r="C170" t="str">
            <v>VAR_ncap</v>
          </cell>
          <cell r="D170" t="str">
            <v>-</v>
          </cell>
          <cell r="I170">
            <v>7.3424459817592998E-5</v>
          </cell>
          <cell r="J170">
            <v>5.0836736612959098E-5</v>
          </cell>
        </row>
        <row r="171">
          <cell r="B171" t="str">
            <v>ITOT-CHPNGACCS</v>
          </cell>
          <cell r="C171" t="str">
            <v>VAR_cap</v>
          </cell>
          <cell r="D171" t="str">
            <v>-</v>
          </cell>
          <cell r="I171">
            <v>7.3424459817592998E-5</v>
          </cell>
          <cell r="J171">
            <v>1.2249671335952579E-4</v>
          </cell>
        </row>
        <row r="172">
          <cell r="B172" t="str">
            <v>SCOM-ESOLPV</v>
          </cell>
          <cell r="C172" t="str">
            <v>VAR_fout</v>
          </cell>
          <cell r="D172" t="str">
            <v>SCOM_SOL_ELC</v>
          </cell>
          <cell r="E172">
            <v>2.8396236857719668</v>
          </cell>
          <cell r="F172">
            <v>3.2944552202001307</v>
          </cell>
          <cell r="G172">
            <v>9.9661619519556197</v>
          </cell>
          <cell r="H172">
            <v>10.737245362561856</v>
          </cell>
          <cell r="I172">
            <v>13.898311195948592</v>
          </cell>
          <cell r="J172">
            <v>20.985711386197028</v>
          </cell>
        </row>
        <row r="173">
          <cell r="B173" t="str">
            <v>SCOM-ESOLPV</v>
          </cell>
          <cell r="C173" t="str">
            <v>VAR_fin</v>
          </cell>
          <cell r="D173" t="str">
            <v>SOL</v>
          </cell>
          <cell r="E173">
            <v>2.8396236857719668</v>
          </cell>
          <cell r="F173">
            <v>3.2944552202001307</v>
          </cell>
          <cell r="G173">
            <v>9.9661619519556197</v>
          </cell>
          <cell r="H173">
            <v>10.737245362561856</v>
          </cell>
          <cell r="I173">
            <v>13.898311195948592</v>
          </cell>
          <cell r="J173">
            <v>20.985711386197028</v>
          </cell>
        </row>
        <row r="174">
          <cell r="B174" t="str">
            <v>SCOM-ESOLPV</v>
          </cell>
          <cell r="C174" t="str">
            <v>VAR_fin</v>
          </cell>
          <cell r="D174" t="str">
            <v>SOLPVC</v>
          </cell>
          <cell r="E174">
            <v>2.8396236857719699</v>
          </cell>
          <cell r="F174">
            <v>3.2944552202001298</v>
          </cell>
          <cell r="G174">
            <v>9.9661619519556304</v>
          </cell>
          <cell r="H174">
            <v>10.7372453625619</v>
          </cell>
          <cell r="I174">
            <v>13.898311195948599</v>
          </cell>
          <cell r="J174">
            <v>20.985711386197</v>
          </cell>
        </row>
        <row r="175">
          <cell r="B175" t="str">
            <v>SCOM-ESOLPV</v>
          </cell>
          <cell r="C175" t="str">
            <v>VAR_ncap</v>
          </cell>
          <cell r="D175" t="str">
            <v>-</v>
          </cell>
          <cell r="F175">
            <v>6.2207174970676601E-8</v>
          </cell>
          <cell r="G175">
            <v>2.0045749344891002</v>
          </cell>
          <cell r="H175">
            <v>4.3908583961525201E-7</v>
          </cell>
          <cell r="I175">
            <v>1.1607985106996599</v>
          </cell>
          <cell r="J175">
            <v>4.3909532091048096</v>
          </cell>
        </row>
        <row r="176">
          <cell r="B176" t="str">
            <v>SCOM-ESOLPV</v>
          </cell>
          <cell r="C176" t="str">
            <v>VAR_cap</v>
          </cell>
          <cell r="D176" t="str">
            <v>-</v>
          </cell>
          <cell r="E176">
            <v>0.90292899999999998</v>
          </cell>
          <cell r="F176">
            <v>1.123101323775185</v>
          </cell>
          <cell r="G176">
            <v>3.1798039966962799</v>
          </cell>
          <cell r="H176">
            <v>3.0952346140228002</v>
          </cell>
          <cell r="I176">
            <v>4.0064795665390891</v>
          </cell>
          <cell r="J176">
            <v>6.0495704706713598</v>
          </cell>
        </row>
        <row r="177">
          <cell r="B177" t="str">
            <v>D-SCOM_LTH</v>
          </cell>
          <cell r="C177" t="str">
            <v>VAR_fout</v>
          </cell>
          <cell r="D177" t="str">
            <v>SCOM_LTH_DH</v>
          </cell>
          <cell r="E177">
            <v>5.6100124652462284</v>
          </cell>
          <cell r="F177">
            <v>6.0767081951439819</v>
          </cell>
          <cell r="G177">
            <v>6.0268155477090595</v>
          </cell>
          <cell r="H177">
            <v>9.5166990407696819</v>
          </cell>
          <cell r="I177">
            <v>9.9990344489427674</v>
          </cell>
          <cell r="J177">
            <v>8.2479007706170542</v>
          </cell>
        </row>
        <row r="178">
          <cell r="B178" t="str">
            <v>D-SCOM_LTH</v>
          </cell>
          <cell r="C178" t="str">
            <v>VAR_fin</v>
          </cell>
          <cell r="D178" t="str">
            <v>LTH</v>
          </cell>
          <cell r="E178">
            <v>6.0987892849908878</v>
          </cell>
          <cell r="F178">
            <v>6.6044100782554302</v>
          </cell>
          <cell r="G178">
            <v>6.5476035647956099</v>
          </cell>
          <cell r="H178">
            <v>10.332268256523404</v>
          </cell>
          <cell r="I178">
            <v>10.841707508488614</v>
          </cell>
          <cell r="J178">
            <v>8.9312877057977484</v>
          </cell>
        </row>
        <row r="179">
          <cell r="B179" t="str">
            <v>D-SCOM_LTH</v>
          </cell>
          <cell r="C179" t="str">
            <v>VAR_ncap</v>
          </cell>
          <cell r="D179" t="str">
            <v>-</v>
          </cell>
          <cell r="E179">
            <v>0.849700312178573</v>
          </cell>
          <cell r="F179">
            <v>1.7052689549322799E-7</v>
          </cell>
          <cell r="G179">
            <v>1.98133111949915E-7</v>
          </cell>
          <cell r="H179">
            <v>2.3273733914286099E-7</v>
          </cell>
          <cell r="I179">
            <v>3.6431388800210999E-7</v>
          </cell>
          <cell r="J179">
            <v>3.1472329688880998E-7</v>
          </cell>
        </row>
        <row r="180">
          <cell r="B180" t="str">
            <v>D-SCOM_LTH</v>
          </cell>
          <cell r="C180" t="str">
            <v>VAR_cap</v>
          </cell>
          <cell r="D180" t="str">
            <v>-</v>
          </cell>
          <cell r="E180">
            <v>0.849700312178573</v>
          </cell>
          <cell r="F180">
            <v>0.84970048270546905</v>
          </cell>
          <cell r="G180">
            <v>0.84970068083858097</v>
          </cell>
          <cell r="H180">
            <v>0.84970091357592004</v>
          </cell>
          <cell r="I180">
            <v>0.84970162653319403</v>
          </cell>
          <cell r="J180">
            <v>0.84970194125649101</v>
          </cell>
        </row>
        <row r="181">
          <cell r="B181" t="str">
            <v>EHYD-RUNS15</v>
          </cell>
          <cell r="C181" t="str">
            <v>VAR_fout</v>
          </cell>
          <cell r="D181" t="str">
            <v>ELC35</v>
          </cell>
          <cell r="F181">
            <v>1.4874442277304195E-3</v>
          </cell>
          <cell r="G181">
            <v>1.220716382926117E-2</v>
          </cell>
          <cell r="H181">
            <v>0.46761780298937272</v>
          </cell>
          <cell r="I181">
            <v>1.5515858831325109</v>
          </cell>
          <cell r="J181">
            <v>7.0072812684041343</v>
          </cell>
        </row>
        <row r="182">
          <cell r="B182" t="str">
            <v>EHYD-RUNS15</v>
          </cell>
          <cell r="C182" t="str">
            <v>VAR_fin</v>
          </cell>
          <cell r="D182" t="str">
            <v>HYDR</v>
          </cell>
          <cell r="F182">
            <v>1.4874442277304195E-3</v>
          </cell>
          <cell r="G182">
            <v>1.220716382926117E-2</v>
          </cell>
          <cell r="H182">
            <v>0.46761780298937272</v>
          </cell>
          <cell r="I182">
            <v>1.5515858831325109</v>
          </cell>
          <cell r="J182">
            <v>7.0072812684041343</v>
          </cell>
        </row>
        <row r="183">
          <cell r="B183" t="str">
            <v>EHYD-RUNS15</v>
          </cell>
          <cell r="C183" t="str">
            <v>VAR_ncap</v>
          </cell>
          <cell r="D183" t="str">
            <v>-</v>
          </cell>
          <cell r="F183">
            <v>1.2551964349677701E-4</v>
          </cell>
          <cell r="G183">
            <v>7.1436065412323099E-4</v>
          </cell>
          <cell r="H183">
            <v>2.6873219036312099E-2</v>
          </cell>
          <cell r="I183">
            <v>6.36874729484629E-2</v>
          </cell>
          <cell r="J183">
            <v>0.36812883993152901</v>
          </cell>
        </row>
        <row r="184">
          <cell r="B184" t="str">
            <v>EHYD-RUNS15</v>
          </cell>
          <cell r="C184" t="str">
            <v>VAR_cap</v>
          </cell>
          <cell r="D184" t="str">
            <v>-</v>
          </cell>
          <cell r="F184">
            <v>1.2551964349677701E-4</v>
          </cell>
          <cell r="G184">
            <v>8.3988029762000903E-4</v>
          </cell>
          <cell r="H184">
            <v>2.7713099333932099E-2</v>
          </cell>
          <cell r="I184">
            <v>9.1402246142117005E-2</v>
          </cell>
          <cell r="J184">
            <v>0.45953108607364601</v>
          </cell>
        </row>
        <row r="185">
          <cell r="B185" t="str">
            <v>EHYD-RUN10</v>
          </cell>
          <cell r="C185" t="str">
            <v>VAR_fout</v>
          </cell>
          <cell r="D185" t="str">
            <v>ELC13</v>
          </cell>
          <cell r="F185">
            <v>6.2337306301237473E-3</v>
          </cell>
          <cell r="G185">
            <v>3.265301221575502E-2</v>
          </cell>
          <cell r="H185">
            <v>3.3054487990988014E-2</v>
          </cell>
          <cell r="I185">
            <v>3.7651586753366779E-2</v>
          </cell>
          <cell r="J185">
            <v>3.5159104078861018E-2</v>
          </cell>
        </row>
        <row r="186">
          <cell r="B186" t="str">
            <v>EHYD-RUN10</v>
          </cell>
          <cell r="C186" t="str">
            <v>VAR_fin</v>
          </cell>
          <cell r="D186" t="str">
            <v>HYDR</v>
          </cell>
          <cell r="F186">
            <v>6.2337306301237473E-3</v>
          </cell>
          <cell r="G186">
            <v>3.265301221575502E-2</v>
          </cell>
          <cell r="H186">
            <v>3.3054487990988014E-2</v>
          </cell>
          <cell r="I186">
            <v>3.7651586753366779E-2</v>
          </cell>
          <cell r="J186">
            <v>3.5159104078861018E-2</v>
          </cell>
        </row>
        <row r="187">
          <cell r="B187" t="str">
            <v>EHYD-RUN10</v>
          </cell>
          <cell r="C187" t="str">
            <v>VAR_ncap</v>
          </cell>
          <cell r="D187" t="str">
            <v>-</v>
          </cell>
          <cell r="F187">
            <v>5.4066841978253903E-4</v>
          </cell>
          <cell r="G187">
            <v>2.3955724131393902E-3</v>
          </cell>
          <cell r="H187">
            <v>1.6008282766778201E-8</v>
          </cell>
          <cell r="J187">
            <v>1.34018492103016E-8</v>
          </cell>
        </row>
        <row r="188">
          <cell r="B188" t="str">
            <v>EHYD-RUN10</v>
          </cell>
          <cell r="C188" t="str">
            <v>VAR_cap</v>
          </cell>
          <cell r="D188" t="str">
            <v>-</v>
          </cell>
          <cell r="F188">
            <v>5.4066841978253903E-4</v>
          </cell>
          <cell r="G188">
            <v>2.9362408329219299E-3</v>
          </cell>
          <cell r="H188">
            <v>2.93625684120469E-3</v>
          </cell>
          <cell r="I188">
            <v>2.93627031783962E-3</v>
          </cell>
          <cell r="J188">
            <v>2.9362837196888298E-3</v>
          </cell>
        </row>
        <row r="189">
          <cell r="B189" t="str">
            <v>ITOT-CHPWOD</v>
          </cell>
          <cell r="C189" t="str">
            <v>VAR_fout</v>
          </cell>
          <cell r="D189" t="str">
            <v>ITOT_LTH_CHP</v>
          </cell>
          <cell r="E189">
            <v>0.65964858063183474</v>
          </cell>
          <cell r="F189">
            <v>0.57088332156089117</v>
          </cell>
          <cell r="G189">
            <v>3.386807427138764</v>
          </cell>
          <cell r="H189">
            <v>5.0415085271533826</v>
          </cell>
          <cell r="I189">
            <v>5.3577757828729506</v>
          </cell>
          <cell r="J189">
            <v>3.4276774699242156</v>
          </cell>
        </row>
        <row r="190">
          <cell r="B190" t="str">
            <v>ITOT-CHPWOD</v>
          </cell>
          <cell r="C190" t="str">
            <v>VAR_fout</v>
          </cell>
          <cell r="D190" t="str">
            <v>ITOT_KEV_WOD_ELC_CHP</v>
          </cell>
          <cell r="E190">
            <v>0.17248292666379383</v>
          </cell>
          <cell r="F190">
            <v>0.16392353953752159</v>
          </cell>
          <cell r="G190">
            <v>1.1403751239746929</v>
          </cell>
          <cell r="H190">
            <v>2.3832585764725023</v>
          </cell>
          <cell r="I190">
            <v>2.5327667337217505</v>
          </cell>
          <cell r="J190">
            <v>1.62035662214599</v>
          </cell>
        </row>
        <row r="191">
          <cell r="B191" t="str">
            <v>ITOT-CHPWOD</v>
          </cell>
          <cell r="C191" t="str">
            <v>VAR_fin</v>
          </cell>
          <cell r="D191" t="str">
            <v>IWOD</v>
          </cell>
          <cell r="E191">
            <v>0.87272746606237006</v>
          </cell>
          <cell r="F191">
            <v>0.72591458388465646</v>
          </cell>
          <cell r="G191">
            <v>4.5130573608695617</v>
          </cell>
          <cell r="H191">
            <v>7.0430073691202359</v>
          </cell>
          <cell r="I191">
            <v>7.1769219026870905</v>
          </cell>
          <cell r="J191">
            <v>4.4068667234511727</v>
          </cell>
        </row>
        <row r="192">
          <cell r="B192" t="str">
            <v>ITOT-CHPWOD</v>
          </cell>
          <cell r="C192" t="str">
            <v>VAR_ncap</v>
          </cell>
          <cell r="D192" t="str">
            <v>-</v>
          </cell>
          <cell r="F192">
            <v>4.3842532617909304E-3</v>
          </cell>
          <cell r="G192">
            <v>3.6102857544322901E-2</v>
          </cell>
          <cell r="H192">
            <v>4.5979477138806402E-2</v>
          </cell>
          <cell r="I192">
            <v>0.109987158961456</v>
          </cell>
          <cell r="J192">
            <v>1.3806795009944599E-2</v>
          </cell>
        </row>
        <row r="193">
          <cell r="B193" t="str">
            <v>ITOT-CHPWOD</v>
          </cell>
          <cell r="C193" t="str">
            <v>VAR_cap</v>
          </cell>
          <cell r="D193" t="str">
            <v>-</v>
          </cell>
          <cell r="E193">
            <v>7.9227383283743905E-3</v>
          </cell>
          <cell r="F193">
            <v>6.0630551863851724E-3</v>
          </cell>
          <cell r="G193">
            <v>4.2165486657740427E-2</v>
          </cell>
          <cell r="H193">
            <v>8.8143985427030086E-2</v>
          </cell>
          <cell r="I193">
            <v>0.15804016541037103</v>
          </cell>
          <cell r="J193">
            <v>9.7966071701243482E-2</v>
          </cell>
        </row>
        <row r="194">
          <cell r="B194" t="str">
            <v>EHYD-RUN15</v>
          </cell>
          <cell r="C194" t="str">
            <v>VAR_fout</v>
          </cell>
          <cell r="D194" t="str">
            <v>ELC13</v>
          </cell>
          <cell r="F194">
            <v>2.8341937588972628E-3</v>
          </cell>
          <cell r="G194">
            <v>2.9041681270435401E-3</v>
          </cell>
          <cell r="H194">
            <v>3.7880014118727824E-3</v>
          </cell>
          <cell r="I194">
            <v>4.5423357069726113E-3</v>
          </cell>
          <cell r="J194">
            <v>4.5960048178712298E-3</v>
          </cell>
        </row>
        <row r="195">
          <cell r="B195" t="str">
            <v>EHYD-RUN15</v>
          </cell>
          <cell r="C195" t="str">
            <v>VAR_fin</v>
          </cell>
          <cell r="D195" t="str">
            <v>HYDR</v>
          </cell>
          <cell r="F195">
            <v>2.8341937588972628E-3</v>
          </cell>
          <cell r="G195">
            <v>2.9041681270435401E-3</v>
          </cell>
          <cell r="H195">
            <v>3.7880014118727824E-3</v>
          </cell>
          <cell r="I195">
            <v>4.5423357069726113E-3</v>
          </cell>
          <cell r="J195">
            <v>4.5960048178712298E-3</v>
          </cell>
        </row>
        <row r="196">
          <cell r="B196" t="str">
            <v>EHYD-RUN15</v>
          </cell>
          <cell r="C196" t="str">
            <v>VAR_ncap</v>
          </cell>
          <cell r="D196" t="str">
            <v>-</v>
          </cell>
          <cell r="F196">
            <v>2.4435257323970802E-4</v>
          </cell>
          <cell r="G196">
            <v>8.1224141118172805E-5</v>
          </cell>
          <cell r="H196">
            <v>4.4331192151069098E-7</v>
          </cell>
          <cell r="I196">
            <v>2.9418426497231099E-7</v>
          </cell>
          <cell r="J196">
            <v>4.6126515041926499E-7</v>
          </cell>
        </row>
        <row r="197">
          <cell r="B197" t="str">
            <v>EHYD-RUN15</v>
          </cell>
          <cell r="C197" t="str">
            <v>VAR_cap</v>
          </cell>
          <cell r="D197" t="str">
            <v>-</v>
          </cell>
          <cell r="F197">
            <v>2.4435257323970802E-4</v>
          </cell>
          <cell r="G197">
            <v>2.4435257323970802E-4</v>
          </cell>
          <cell r="H197">
            <v>3.01039215870826E-4</v>
          </cell>
          <cell r="I197">
            <v>3.26185144408436E-4</v>
          </cell>
          <cell r="J197">
            <v>3.2672505465887903E-4</v>
          </cell>
        </row>
        <row r="198">
          <cell r="B198" t="str">
            <v>SCOM-SWHSTG-CHPWOD</v>
          </cell>
          <cell r="C198" t="str">
            <v>VAR_fout</v>
          </cell>
          <cell r="D198" t="str">
            <v>AUX_SCOM-CHPWOD_OUT</v>
          </cell>
          <cell r="E198">
            <v>3.0072618893522323E-4</v>
          </cell>
          <cell r="F198">
            <v>4.5739822442675873E-4</v>
          </cell>
          <cell r="G198">
            <v>4.6719961495033594E-4</v>
          </cell>
          <cell r="H198">
            <v>5.3719102231271267E-3</v>
          </cell>
          <cell r="I198">
            <v>5.3778452392738959E-3</v>
          </cell>
          <cell r="J198">
            <v>0.27040875261553482</v>
          </cell>
        </row>
        <row r="199">
          <cell r="B199" t="str">
            <v>SCOM-SWHSTG-CHPWOD</v>
          </cell>
          <cell r="C199" t="str">
            <v>VAR_fout</v>
          </cell>
          <cell r="D199" t="str">
            <v>SCOM_LTH_CHPWOD</v>
          </cell>
          <cell r="E199">
            <v>3.0072618893522372E-4</v>
          </cell>
          <cell r="F199">
            <v>4.5777208759870461E-4</v>
          </cell>
          <cell r="G199">
            <v>4.6779629389663297E-4</v>
          </cell>
          <cell r="H199">
            <v>5.3719102231271163E-3</v>
          </cell>
          <cell r="I199">
            <v>5.3778452392738915E-3</v>
          </cell>
          <cell r="J199">
            <v>0.27040875261553476</v>
          </cell>
        </row>
        <row r="200">
          <cell r="B200" t="str">
            <v>SCOM-SWHSTG-CHPWOD</v>
          </cell>
          <cell r="C200" t="str">
            <v>VAR_fin</v>
          </cell>
          <cell r="D200" t="str">
            <v>AUX_SCOM-CHPWOD_IN</v>
          </cell>
          <cell r="E200">
            <v>3.0072618893522372E-4</v>
          </cell>
          <cell r="F200">
            <v>4.5777208759870461E-4</v>
          </cell>
          <cell r="G200">
            <v>4.6779629389663297E-4</v>
          </cell>
          <cell r="H200">
            <v>6.1477397944024884E-3</v>
          </cell>
          <cell r="I200">
            <v>5.7527927330667224E-3</v>
          </cell>
          <cell r="J200">
            <v>0.27314588904766002</v>
          </cell>
        </row>
        <row r="201">
          <cell r="B201" t="str">
            <v>SCOM-SWHSTG-CHPWOD</v>
          </cell>
          <cell r="C201" t="str">
            <v>VAR_fin</v>
          </cell>
          <cell r="D201" t="str">
            <v>SCOM_LTH_CHPWOD</v>
          </cell>
          <cell r="E201">
            <v>3.0072618893522372E-4</v>
          </cell>
          <cell r="F201">
            <v>4.5777208759870461E-4</v>
          </cell>
          <cell r="G201">
            <v>4.6779629389663297E-4</v>
          </cell>
          <cell r="H201">
            <v>6.1477397944024884E-3</v>
          </cell>
          <cell r="I201">
            <v>5.7527927330667224E-3</v>
          </cell>
          <cell r="J201">
            <v>0.27314588904766002</v>
          </cell>
        </row>
        <row r="202">
          <cell r="B202" t="str">
            <v>SCOM-SWHSTG-CHPWOD</v>
          </cell>
          <cell r="C202" t="str">
            <v>VAR_ncap</v>
          </cell>
          <cell r="D202" t="str">
            <v>-</v>
          </cell>
          <cell r="E202">
            <v>2.9897040961247298E-3</v>
          </cell>
          <cell r="F202">
            <v>9.9411236780984604E-5</v>
          </cell>
          <cell r="G202">
            <v>1.40331528441133E-4</v>
          </cell>
          <cell r="H202">
            <v>1.24469123911387E-4</v>
          </cell>
          <cell r="I202">
            <v>2.4495593085421298E-4</v>
          </cell>
          <cell r="J202">
            <v>1.48479155214945E-2</v>
          </cell>
        </row>
        <row r="203">
          <cell r="B203" t="str">
            <v>SCOM-SWHSTG-CHPWOD</v>
          </cell>
          <cell r="C203" t="str">
            <v>VAR_cap</v>
          </cell>
          <cell r="D203" t="str">
            <v>-</v>
          </cell>
          <cell r="E203">
            <v>2.9897040961247298E-3</v>
          </cell>
          <cell r="F203">
            <v>3.0790435007077934E-3</v>
          </cell>
          <cell r="G203">
            <v>3.1961399574198207E-3</v>
          </cell>
          <cell r="H203">
            <v>3.2625718768850252E-3</v>
          </cell>
          <cell r="I203">
            <v>4.5583244854309072E-3</v>
          </cell>
          <cell r="J203">
            <v>1.6800633108414533E-2</v>
          </cell>
        </row>
        <row r="204">
          <cell r="B204" t="str">
            <v>RHNM-ESOLPV</v>
          </cell>
          <cell r="C204" t="str">
            <v>VAR_fout</v>
          </cell>
          <cell r="D204" t="str">
            <v>RHNM_SOL_ELC</v>
          </cell>
          <cell r="F204">
            <v>4.3176555695042459E-5</v>
          </cell>
          <cell r="G204">
            <v>1.71466990039935</v>
          </cell>
          <cell r="H204">
            <v>1.8978104436903656</v>
          </cell>
          <cell r="I204">
            <v>2.0963984727585299</v>
          </cell>
          <cell r="J204">
            <v>2.3157698744828434</v>
          </cell>
        </row>
        <row r="205">
          <cell r="B205" t="str">
            <v>RHNM-ESOLPV</v>
          </cell>
          <cell r="C205" t="str">
            <v>VAR_fin</v>
          </cell>
          <cell r="D205" t="str">
            <v>SOL</v>
          </cell>
          <cell r="F205">
            <v>4.3176555695042459E-5</v>
          </cell>
          <cell r="G205">
            <v>1.71466990039935</v>
          </cell>
          <cell r="H205">
            <v>1.8978104436903656</v>
          </cell>
          <cell r="I205">
            <v>2.0963984727585299</v>
          </cell>
          <cell r="J205">
            <v>2.3157698744828434</v>
          </cell>
        </row>
        <row r="206">
          <cell r="B206" t="str">
            <v>RHNM-ESOLPV</v>
          </cell>
          <cell r="C206" t="str">
            <v>VAR_fin</v>
          </cell>
          <cell r="D206" t="str">
            <v>SOLPVC</v>
          </cell>
          <cell r="F206">
            <v>4.31765556950425E-5</v>
          </cell>
          <cell r="G206">
            <v>1.71466990039935</v>
          </cell>
          <cell r="H206">
            <v>1.89781044369037</v>
          </cell>
          <cell r="I206">
            <v>2.0963984727585299</v>
          </cell>
          <cell r="J206">
            <v>2.3157698744828399</v>
          </cell>
        </row>
        <row r="207">
          <cell r="B207" t="str">
            <v>RHNM-ESOLPV</v>
          </cell>
          <cell r="C207" t="str">
            <v>VAR_ncap</v>
          </cell>
          <cell r="D207" t="str">
            <v>-</v>
          </cell>
          <cell r="F207">
            <v>1.47272355664654E-5</v>
          </cell>
          <cell r="G207">
            <v>0.54706876609114297</v>
          </cell>
          <cell r="H207">
            <v>4.1459696630680801E-7</v>
          </cell>
          <cell r="I207">
            <v>2.9345518579523701E-2</v>
          </cell>
          <cell r="J207">
            <v>0.61598441189684905</v>
          </cell>
        </row>
        <row r="208">
          <cell r="B208" t="str">
            <v>RHNM-ESOLPV</v>
          </cell>
          <cell r="C208" t="str">
            <v>VAR_cap</v>
          </cell>
          <cell r="D208" t="str">
            <v>-</v>
          </cell>
          <cell r="F208">
            <v>1.47272355664654E-5</v>
          </cell>
          <cell r="G208">
            <v>0.54708349332671002</v>
          </cell>
          <cell r="H208">
            <v>0.547083907923676</v>
          </cell>
          <cell r="I208">
            <v>0.60433306552236599</v>
          </cell>
          <cell r="J208">
            <v>0.66757099063743097</v>
          </cell>
        </row>
        <row r="209">
          <cell r="B209" t="str">
            <v>CHPNGA</v>
          </cell>
          <cell r="C209" t="str">
            <v>VAR_fout</v>
          </cell>
          <cell r="D209" t="str">
            <v>ELC35</v>
          </cell>
          <cell r="E209">
            <v>0.96588767049683366</v>
          </cell>
          <cell r="F209">
            <v>5.1458421555286929E-4</v>
          </cell>
          <cell r="G209">
            <v>1.8944422084999194E-2</v>
          </cell>
          <cell r="H209">
            <v>5.9940706458999063E-4</v>
          </cell>
          <cell r="I209">
            <v>6.2235761800812745E-4</v>
          </cell>
          <cell r="J209">
            <v>5.5872716781647582E-5</v>
          </cell>
        </row>
        <row r="210">
          <cell r="B210" t="str">
            <v>CHPNGA</v>
          </cell>
          <cell r="C210" t="str">
            <v>VAR_fout</v>
          </cell>
          <cell r="D210" t="str">
            <v>LTH</v>
          </cell>
          <cell r="E210">
            <v>1.8035641430548299</v>
          </cell>
          <cell r="F210">
            <v>9.8880185446797238E-4</v>
          </cell>
          <cell r="G210">
            <v>3.7945606913230699E-2</v>
          </cell>
          <cell r="H210">
            <v>1.2819709486668102E-3</v>
          </cell>
          <cell r="I210">
            <v>1.3167435966335221E-3</v>
          </cell>
          <cell r="J210">
            <v>1.1695427182190813E-4</v>
          </cell>
        </row>
        <row r="211">
          <cell r="B211" t="str">
            <v>CHPNGA</v>
          </cell>
          <cell r="C211" t="str">
            <v>VAR_fout</v>
          </cell>
          <cell r="D211" t="str">
            <v>CO2_E</v>
          </cell>
          <cell r="E211">
            <v>208.81666823783701</v>
          </cell>
          <cell r="F211">
            <v>0.141705818793745</v>
          </cell>
          <cell r="G211">
            <v>41.268285195378802</v>
          </cell>
          <cell r="H211">
            <v>0.14626049625370099</v>
          </cell>
          <cell r="I211">
            <v>0.146071615655881</v>
          </cell>
          <cell r="J211">
            <v>1.5975454278609202E-2</v>
          </cell>
        </row>
        <row r="212">
          <cell r="B212" t="str">
            <v>CHPNGA</v>
          </cell>
          <cell r="C212" t="str">
            <v>VAR_fin</v>
          </cell>
          <cell r="D212" t="str">
            <v>ENGA</v>
          </cell>
          <cell r="E212">
            <v>3.7024231957063347</v>
          </cell>
          <cell r="F212">
            <v>2.5125145176195908E-3</v>
          </cell>
          <cell r="G212">
            <v>0.7317071843152273</v>
          </cell>
          <cell r="H212">
            <v>2.5932712101720051E-3</v>
          </cell>
          <cell r="I212">
            <v>2.5899222634021379E-3</v>
          </cell>
          <cell r="J212">
            <v>2.8325273543633336E-4</v>
          </cell>
        </row>
        <row r="213">
          <cell r="B213" t="str">
            <v>CHPNGA</v>
          </cell>
          <cell r="C213" t="str">
            <v>VAR_ncap</v>
          </cell>
          <cell r="D213" t="str">
            <v>-</v>
          </cell>
          <cell r="F213">
            <v>6.8882607546805295E-7</v>
          </cell>
          <cell r="G213">
            <v>6.5581765479005795E-4</v>
          </cell>
          <cell r="H213">
            <v>2.3478605206174802E-6</v>
          </cell>
          <cell r="I213">
            <v>1.1470937361197399E-6</v>
          </cell>
          <cell r="J213">
            <v>5.9979175960482104E-7</v>
          </cell>
        </row>
        <row r="214">
          <cell r="B214" t="str">
            <v>CHPNGA</v>
          </cell>
          <cell r="C214" t="str">
            <v>VAR_cap</v>
          </cell>
          <cell r="D214" t="str">
            <v>-</v>
          </cell>
          <cell r="E214">
            <v>4.9792916606342996E-2</v>
          </cell>
          <cell r="F214">
            <v>1.7506896726396382E-4</v>
          </cell>
          <cell r="G214">
            <v>8.3078831727673164E-4</v>
          </cell>
          <cell r="H214">
            <v>2.0294048915864282E-4</v>
          </cell>
          <cell r="I214">
            <v>2.076236850148699E-4</v>
          </cell>
          <cell r="J214">
            <v>1.8440511245115503E-5</v>
          </cell>
        </row>
        <row r="215">
          <cell r="B215" t="str">
            <v>EHYD-PUM00</v>
          </cell>
          <cell r="C215" t="str">
            <v>VAR_fout</v>
          </cell>
          <cell r="D215" t="str">
            <v>ELC</v>
          </cell>
          <cell r="E215">
            <v>12.841927396405056</v>
          </cell>
          <cell r="F215">
            <v>16.032992465652217</v>
          </cell>
          <cell r="G215">
            <v>5.61612753634504</v>
          </cell>
          <cell r="H215">
            <v>44.718457867189407</v>
          </cell>
          <cell r="I215">
            <v>12.872849078716881</v>
          </cell>
          <cell r="J215">
            <v>13.224063122302036</v>
          </cell>
        </row>
        <row r="216">
          <cell r="B216" t="str">
            <v>EHYD-PUM00</v>
          </cell>
          <cell r="C216" t="str">
            <v>VAR_fout</v>
          </cell>
          <cell r="D216" t="str">
            <v>AUX_PUMP_OUT</v>
          </cell>
          <cell r="E216">
            <v>12.841927396405056</v>
          </cell>
          <cell r="F216">
            <v>16.032992465652217</v>
          </cell>
          <cell r="G216">
            <v>5.61612753634504</v>
          </cell>
          <cell r="H216">
            <v>44.718457867189407</v>
          </cell>
          <cell r="I216">
            <v>12.872849078716881</v>
          </cell>
          <cell r="J216">
            <v>13.224063122302036</v>
          </cell>
        </row>
        <row r="217">
          <cell r="B217" t="str">
            <v>EHYD-PUM00</v>
          </cell>
          <cell r="C217" t="str">
            <v>VAR_fin</v>
          </cell>
          <cell r="D217" t="str">
            <v>AUX_PUMP_IN</v>
          </cell>
          <cell r="E217">
            <v>16.052414401991513</v>
          </cell>
          <cell r="F217">
            <v>20.041244167434613</v>
          </cell>
          <cell r="G217">
            <v>7.020159680716425</v>
          </cell>
          <cell r="H217">
            <v>55.898068682528226</v>
          </cell>
          <cell r="I217">
            <v>16.091057020708963</v>
          </cell>
          <cell r="J217">
            <v>16.530076454435683</v>
          </cell>
        </row>
        <row r="218">
          <cell r="B218" t="str">
            <v>EHYD-PUM00</v>
          </cell>
          <cell r="C218" t="str">
            <v>VAR_fin</v>
          </cell>
          <cell r="D218" t="str">
            <v>ELC</v>
          </cell>
          <cell r="E218">
            <v>16.052414401991513</v>
          </cell>
          <cell r="F218">
            <v>20.041244167434613</v>
          </cell>
          <cell r="G218">
            <v>7.020159680716425</v>
          </cell>
          <cell r="H218">
            <v>55.898068682528226</v>
          </cell>
          <cell r="I218">
            <v>16.091057020708963</v>
          </cell>
          <cell r="J218">
            <v>16.530076454435683</v>
          </cell>
        </row>
        <row r="219">
          <cell r="B219" t="str">
            <v>EHYD-PUM00</v>
          </cell>
          <cell r="C219" t="str">
            <v>VAR_cap</v>
          </cell>
          <cell r="D219" t="str">
            <v>-</v>
          </cell>
          <cell r="E219">
            <v>3.3394499999999998</v>
          </cell>
          <cell r="F219">
            <v>3.97102894612105</v>
          </cell>
          <cell r="G219">
            <v>4.3594499999999998</v>
          </cell>
          <cell r="H219">
            <v>4.3594499999999998</v>
          </cell>
          <cell r="I219">
            <v>4.3594499999999998</v>
          </cell>
          <cell r="J219">
            <v>4.3594499999999998</v>
          </cell>
        </row>
        <row r="220">
          <cell r="B220" t="str">
            <v>RHNS-SHSTG-CHPNGA</v>
          </cell>
          <cell r="C220" t="str">
            <v>VAR_fout</v>
          </cell>
          <cell r="D220" t="str">
            <v>RHNS_LTH_CHPNGA</v>
          </cell>
          <cell r="E220">
            <v>9.4744790287857109E-4</v>
          </cell>
          <cell r="F220">
            <v>1.6047778014927294E-4</v>
          </cell>
          <cell r="G220">
            <v>8.9068846175746653E-3</v>
          </cell>
          <cell r="H220">
            <v>9.1857485129877396E-3</v>
          </cell>
          <cell r="I220">
            <v>1.1763937341451062E-3</v>
          </cell>
          <cell r="J220">
            <v>8.3241886647524228E-4</v>
          </cell>
        </row>
        <row r="221">
          <cell r="B221" t="str">
            <v>RHNS-SHSTG-CHPNGA</v>
          </cell>
          <cell r="C221" t="str">
            <v>VAR_fout</v>
          </cell>
          <cell r="D221" t="str">
            <v>AUX_RNS-CHPNGA_OUT</v>
          </cell>
          <cell r="E221">
            <v>9.4744790287857401E-4</v>
          </cell>
          <cell r="F221">
            <v>1.603708662384479E-4</v>
          </cell>
          <cell r="G221">
            <v>8.8976162672962395E-3</v>
          </cell>
          <cell r="H221">
            <v>9.1857485129877396E-3</v>
          </cell>
          <cell r="I221">
            <v>1.1763937341451099E-3</v>
          </cell>
          <cell r="J221">
            <v>8.3241886647524293E-4</v>
          </cell>
        </row>
        <row r="222">
          <cell r="B222" t="str">
            <v>RHNS-SHSTG-CHPNGA</v>
          </cell>
          <cell r="C222" t="str">
            <v>VAR_fin</v>
          </cell>
          <cell r="D222" t="str">
            <v>RHNS_LTH_CHPNGA</v>
          </cell>
          <cell r="E222">
            <v>7.4245891367532137E-4</v>
          </cell>
          <cell r="F222">
            <v>2.0237283609793644E-4</v>
          </cell>
          <cell r="G222">
            <v>1.1481152254647336E-2</v>
          </cell>
          <cell r="H222">
            <v>1.1487986686567229E-2</v>
          </cell>
          <cell r="I222">
            <v>1.3897936737040496E-3</v>
          </cell>
          <cell r="J222">
            <v>9.3071089693222311E-4</v>
          </cell>
        </row>
        <row r="223">
          <cell r="B223" t="str">
            <v>RHNS-SHSTG-CHPNGA</v>
          </cell>
          <cell r="C223" t="str">
            <v>VAR_fin</v>
          </cell>
          <cell r="D223" t="str">
            <v>AUX_RNS-CHPNGA_IN</v>
          </cell>
          <cell r="E223">
            <v>7.4245891367532137E-4</v>
          </cell>
          <cell r="F223">
            <v>2.0237283609793644E-4</v>
          </cell>
          <cell r="G223">
            <v>1.1481152254647336E-2</v>
          </cell>
          <cell r="H223">
            <v>1.1487986686567229E-2</v>
          </cell>
          <cell r="I223">
            <v>1.3897936737040496E-3</v>
          </cell>
          <cell r="J223">
            <v>9.3071089693222311E-4</v>
          </cell>
        </row>
        <row r="224">
          <cell r="B224" t="str">
            <v>RHNS-SHSTG-CHPNGA</v>
          </cell>
          <cell r="C224" t="str">
            <v>VAR_ncap</v>
          </cell>
          <cell r="D224" t="str">
            <v>-</v>
          </cell>
          <cell r="E224">
            <v>4.5926782029464897E-3</v>
          </cell>
          <cell r="F224">
            <v>1.2966973818731001E-4</v>
          </cell>
          <cell r="G224">
            <v>9.9802125779414097E-5</v>
          </cell>
          <cell r="H224">
            <v>4.9364313375726299E-5</v>
          </cell>
          <cell r="I224">
            <v>3.58923500118835E-4</v>
          </cell>
          <cell r="J224">
            <v>6.1019856214912895E-4</v>
          </cell>
        </row>
        <row r="225">
          <cell r="B225" t="str">
            <v>RHNS-SHSTG-CHPNGA</v>
          </cell>
          <cell r="C225" t="str">
            <v>VAR_cap</v>
          </cell>
          <cell r="D225" t="str">
            <v>-</v>
          </cell>
          <cell r="E225">
            <v>4.5926782029464897E-3</v>
          </cell>
          <cell r="F225">
            <v>4.7140578177547873E-3</v>
          </cell>
          <cell r="G225">
            <v>4.7883174399691404E-3</v>
          </cell>
          <cell r="H225">
            <v>4.7425052710067432E-3</v>
          </cell>
          <cell r="I225">
            <v>4.511761234194625E-3</v>
          </cell>
          <cell r="J225">
            <v>2.5959808302128602E-3</v>
          </cell>
        </row>
        <row r="226">
          <cell r="B226" t="str">
            <v>ITOT-CHPGFC</v>
          </cell>
          <cell r="C226" t="str">
            <v>VAR_fout</v>
          </cell>
          <cell r="D226" t="str">
            <v>ITOT_NKEV_GAS_ELC_CHP</v>
          </cell>
          <cell r="E226"/>
          <cell r="F226"/>
          <cell r="G226"/>
          <cell r="H226"/>
          <cell r="I226">
            <v>1.0210154553829719E-3</v>
          </cell>
          <cell r="J226">
            <v>1.4569860049588801E-3</v>
          </cell>
        </row>
        <row r="227">
          <cell r="B227" t="str">
            <v>ITOT-CHPGFC</v>
          </cell>
          <cell r="C227" t="str">
            <v>VAR_fout</v>
          </cell>
          <cell r="D227" t="str">
            <v>ITOT_LTH_CHP</v>
          </cell>
          <cell r="E227"/>
          <cell r="F227"/>
          <cell r="G227"/>
          <cell r="H227"/>
          <cell r="I227">
            <v>4.5898859920885979E-4</v>
          </cell>
          <cell r="J227">
            <v>5.8790663357989918E-4</v>
          </cell>
        </row>
        <row r="228">
          <cell r="B228" t="str">
            <v>ITOT-CHPGFC</v>
          </cell>
          <cell r="C228" t="str">
            <v>VAR_fout</v>
          </cell>
          <cell r="D228" t="str">
            <v>CO2_I</v>
          </cell>
          <cell r="E228"/>
          <cell r="F228"/>
          <cell r="G228"/>
          <cell r="H228"/>
          <cell r="I228">
            <v>0.105661048960733</v>
          </cell>
          <cell r="J228">
            <v>0.14416493101698399</v>
          </cell>
        </row>
        <row r="229">
          <cell r="B229" t="str">
            <v>ITOT-CHPGFC</v>
          </cell>
          <cell r="C229" t="str">
            <v>VAR_fin</v>
          </cell>
          <cell r="D229" t="str">
            <v>INGA</v>
          </cell>
          <cell r="E229"/>
          <cell r="F229"/>
          <cell r="G229"/>
          <cell r="H229"/>
          <cell r="I229">
            <v>1.8734228539137119E-3</v>
          </cell>
          <cell r="J229">
            <v>2.5561157981734764E-3</v>
          </cell>
        </row>
        <row r="230">
          <cell r="B230" t="str">
            <v>ITOT-CHPGFC</v>
          </cell>
          <cell r="C230" t="str">
            <v>VAR_ncap</v>
          </cell>
          <cell r="D230" t="str">
            <v>-</v>
          </cell>
          <cell r="E230"/>
          <cell r="F230"/>
          <cell r="G230"/>
          <cell r="H230"/>
          <cell r="I230">
            <v>1.24407250687902E-6</v>
          </cell>
          <cell r="J230">
            <v>1.15367892318827E-4</v>
          </cell>
        </row>
        <row r="231">
          <cell r="B231" t="str">
            <v>ITOT-CHPGFC</v>
          </cell>
          <cell r="C231" t="str">
            <v>VAR_cap</v>
          </cell>
          <cell r="D231" t="str">
            <v>-</v>
          </cell>
          <cell r="E231"/>
          <cell r="F231"/>
          <cell r="G231"/>
          <cell r="H231"/>
          <cell r="I231">
            <v>2.412943253515972E-4</v>
          </cell>
          <cell r="J231">
            <v>2.1759369980168698E-4</v>
          </cell>
        </row>
        <row r="232">
          <cell r="B232" t="str">
            <v>ITOT-SWSTG-CHP</v>
          </cell>
          <cell r="C232" t="str">
            <v>VAR_fout</v>
          </cell>
          <cell r="D232" t="str">
            <v>ITOT_LTH_CHP</v>
          </cell>
          <cell r="E232">
            <v>2.4875573851783226E-4</v>
          </cell>
          <cell r="F232">
            <v>5.1209247082174196E-4</v>
          </cell>
          <cell r="G232">
            <v>0.12569891162911057</v>
          </cell>
          <cell r="H232">
            <v>6.4158766292728283E-4</v>
          </cell>
          <cell r="I232">
            <v>7.3542201834578811E-4</v>
          </cell>
          <cell r="J232">
            <v>0.21738040338849243</v>
          </cell>
        </row>
        <row r="233">
          <cell r="B233" t="str">
            <v>ITOT-SWSTG-CHP</v>
          </cell>
          <cell r="C233" t="str">
            <v>VAR_fout</v>
          </cell>
          <cell r="D233" t="str">
            <v>AUX_ITOT-CHP_OUT</v>
          </cell>
          <cell r="E233">
            <v>2.4875573851783188E-4</v>
          </cell>
          <cell r="F233">
            <v>5.1167424410880429E-4</v>
          </cell>
          <cell r="G233">
            <v>0.12553858138468571</v>
          </cell>
          <cell r="H233">
            <v>6.4158766292728413E-4</v>
          </cell>
          <cell r="I233">
            <v>7.3542201834578887E-4</v>
          </cell>
          <cell r="J233">
            <v>0.21738040338849243</v>
          </cell>
        </row>
        <row r="234">
          <cell r="B234" t="str">
            <v>ITOT-SWSTG-CHP</v>
          </cell>
          <cell r="C234" t="str">
            <v>VAR_fin</v>
          </cell>
          <cell r="D234" t="str">
            <v>ITOT_LTH_CHP</v>
          </cell>
          <cell r="E234">
            <v>2.1428912504137449E-4</v>
          </cell>
          <cell r="F234">
            <v>6.2656628367664018E-4</v>
          </cell>
          <cell r="G234">
            <v>0.14965129517285503</v>
          </cell>
          <cell r="H234">
            <v>7.490591744033282E-4</v>
          </cell>
          <cell r="I234">
            <v>7.99639627252654E-4</v>
          </cell>
          <cell r="J234">
            <v>0.21958197210357627</v>
          </cell>
        </row>
        <row r="235">
          <cell r="B235" t="str">
            <v>ITOT-SWSTG-CHP</v>
          </cell>
          <cell r="C235" t="str">
            <v>VAR_fin</v>
          </cell>
          <cell r="D235" t="str">
            <v>AUX_ITOT-CHP_IN</v>
          </cell>
          <cell r="E235">
            <v>2.1428912504137449E-4</v>
          </cell>
          <cell r="F235">
            <v>6.2656628367664018E-4</v>
          </cell>
          <cell r="G235">
            <v>0.14965129517285503</v>
          </cell>
          <cell r="H235">
            <v>7.490591744033282E-4</v>
          </cell>
          <cell r="I235">
            <v>7.99639627252654E-4</v>
          </cell>
          <cell r="J235">
            <v>0.21958197210357627</v>
          </cell>
        </row>
        <row r="236">
          <cell r="B236" t="str">
            <v>ITOT-SWSTG-CHP</v>
          </cell>
          <cell r="C236" t="str">
            <v>VAR_ncap</v>
          </cell>
          <cell r="D236" t="str">
            <v>-</v>
          </cell>
          <cell r="E236">
            <v>6.4871803958177002E-3</v>
          </cell>
          <cell r="F236">
            <v>9.1363647724168395E-5</v>
          </cell>
          <cell r="G236">
            <v>1.4257513497979799E-3</v>
          </cell>
          <cell r="H236">
            <v>3.9533329801889902E-5</v>
          </cell>
          <cell r="I236">
            <v>3.42309944915879E-4</v>
          </cell>
          <cell r="J236">
            <v>3.7858775505131302E-2</v>
          </cell>
        </row>
        <row r="237">
          <cell r="B237" t="str">
            <v>ITOT-SWSTG-CHP</v>
          </cell>
          <cell r="C237" t="str">
            <v>VAR_cap</v>
          </cell>
          <cell r="D237" t="str">
            <v>-</v>
          </cell>
          <cell r="E237">
            <v>6.4956395630188565E-3</v>
          </cell>
          <cell r="F237">
            <v>6.5654067027753589E-3</v>
          </cell>
          <cell r="G237">
            <v>7.959931256160839E-3</v>
          </cell>
          <cell r="H237">
            <v>7.6367088210851884E-3</v>
          </cell>
          <cell r="I237">
            <v>4.7000778720451405E-3</v>
          </cell>
          <cell r="J237">
            <v>3.9825356241608614E-2</v>
          </cell>
        </row>
        <row r="238">
          <cell r="B238" t="str">
            <v>D-ELFO</v>
          </cell>
          <cell r="C238" t="str">
            <v>VAR_fout</v>
          </cell>
          <cell r="D238" t="str">
            <v>CO2</v>
          </cell>
          <cell r="E238">
            <v>28.468387623636701</v>
          </cell>
          <cell r="F238">
            <v>266.33151944602599</v>
          </cell>
          <cell r="G238">
            <v>40.456467007047301</v>
          </cell>
          <cell r="H238">
            <v>0.170801694078516</v>
          </cell>
          <cell r="I238">
            <v>0.14036469710226099</v>
          </cell>
          <cell r="J238">
            <v>2.5779000631679899E-2</v>
          </cell>
        </row>
        <row r="239">
          <cell r="B239" t="str">
            <v>D-ELFO</v>
          </cell>
          <cell r="C239" t="str">
            <v>VAR_fout</v>
          </cell>
          <cell r="D239" t="str">
            <v>ELFO</v>
          </cell>
          <cell r="E239">
            <v>0.37982269163356347</v>
          </cell>
          <cell r="F239">
            <v>3.5533714069165074</v>
          </cell>
          <cell r="G239">
            <v>0.53976657883647994</v>
          </cell>
          <cell r="H239">
            <v>2.2788209869185061E-3</v>
          </cell>
          <cell r="I239">
            <v>1.8727332846713632E-3</v>
          </cell>
          <cell r="J239">
            <v>3.4394112996474627E-4</v>
          </cell>
        </row>
        <row r="240">
          <cell r="B240" t="str">
            <v>D-ELFO</v>
          </cell>
          <cell r="C240" t="str">
            <v>VAR_fin</v>
          </cell>
          <cell r="D240" t="str">
            <v>LFO</v>
          </cell>
          <cell r="E240">
            <v>0.38627391619588419</v>
          </cell>
          <cell r="F240">
            <v>3.6137248228768808</v>
          </cell>
          <cell r="G240">
            <v>0.54893442343347731</v>
          </cell>
          <cell r="H240">
            <v>2.3175263782702297E-3</v>
          </cell>
          <cell r="I240">
            <v>1.9045413446711161E-3</v>
          </cell>
          <cell r="J240">
            <v>3.4978291223446248E-4</v>
          </cell>
        </row>
        <row r="241">
          <cell r="B241" t="str">
            <v>EHYD-DAM00</v>
          </cell>
          <cell r="C241" t="str">
            <v>VAR_fout</v>
          </cell>
          <cell r="D241" t="str">
            <v>ELC</v>
          </cell>
          <cell r="E241">
            <v>66.745680641565826</v>
          </cell>
          <cell r="F241">
            <v>49.551264024117472</v>
          </cell>
          <cell r="G241">
            <v>68.434894335785955</v>
          </cell>
          <cell r="H241">
            <v>68.999541584201864</v>
          </cell>
          <cell r="I241">
            <v>71.386314133893265</v>
          </cell>
          <cell r="J241">
            <v>65.477569920926129</v>
          </cell>
        </row>
        <row r="242">
          <cell r="B242" t="str">
            <v>EHYD-DAM00</v>
          </cell>
          <cell r="C242" t="str">
            <v>VAR_fin</v>
          </cell>
          <cell r="D242" t="str">
            <v>HYDD</v>
          </cell>
          <cell r="E242">
            <v>66.745680641565826</v>
          </cell>
          <cell r="F242">
            <v>49.551264024117472</v>
          </cell>
          <cell r="G242">
            <v>68.434894335785955</v>
          </cell>
          <cell r="H242">
            <v>68.999541584201864</v>
          </cell>
          <cell r="I242">
            <v>71.386314133893265</v>
          </cell>
          <cell r="J242">
            <v>65.477569920926129</v>
          </cell>
        </row>
        <row r="243">
          <cell r="B243" t="str">
            <v>EHYD-DAM00</v>
          </cell>
          <cell r="C243" t="str">
            <v>VAR_cap</v>
          </cell>
          <cell r="D243" t="str">
            <v>-</v>
          </cell>
          <cell r="E243">
            <v>7.3394300010600002</v>
          </cell>
          <cell r="F243">
            <v>7.3394300010600002</v>
          </cell>
          <cell r="G243">
            <v>7.3394300010600002</v>
          </cell>
          <cell r="H243">
            <v>7.3394300010600002</v>
          </cell>
          <cell r="I243">
            <v>7.3394300010600002</v>
          </cell>
          <cell r="J243">
            <v>7.3394300010600002</v>
          </cell>
        </row>
        <row r="244">
          <cell r="B244" t="str">
            <v>RHES-SHSTG-CHPWOD</v>
          </cell>
          <cell r="C244" t="str">
            <v>VAR_fout</v>
          </cell>
          <cell r="D244" t="str">
            <v>AUX_RES-CHPWOD_OUT</v>
          </cell>
          <cell r="E244">
            <v>9.1662747939188734E-4</v>
          </cell>
          <cell r="F244">
            <v>5.4744731356835092E-4</v>
          </cell>
          <cell r="G244">
            <v>3.7998150123951132E-4</v>
          </cell>
          <cell r="H244">
            <v>1.6722016882854763E-3</v>
          </cell>
          <cell r="I244">
            <v>4.7422701515358712E-4</v>
          </cell>
          <cell r="J244">
            <v>9.6592829660936783E-4</v>
          </cell>
        </row>
        <row r="245">
          <cell r="B245" t="str">
            <v>RHES-SHSTG-CHPWOD</v>
          </cell>
          <cell r="C245" t="str">
            <v>VAR_fout</v>
          </cell>
          <cell r="D245" t="str">
            <v>RHES_LTH_CHPWOD</v>
          </cell>
          <cell r="E245">
            <v>9.1662747939188485E-4</v>
          </cell>
          <cell r="F245">
            <v>5.4781227844406192E-4</v>
          </cell>
          <cell r="G245">
            <v>3.8037731530330191E-4</v>
          </cell>
          <cell r="H245">
            <v>1.6722016882854763E-3</v>
          </cell>
          <cell r="I245">
            <v>4.7422701515358533E-4</v>
          </cell>
          <cell r="J245">
            <v>9.6592829660936696E-4</v>
          </cell>
        </row>
        <row r="246">
          <cell r="B246" t="str">
            <v>RHES-SHSTG-CHPWOD</v>
          </cell>
          <cell r="C246" t="str">
            <v>VAR_fin</v>
          </cell>
          <cell r="D246" t="str">
            <v>AUX_RES-CHPWOD_IN</v>
          </cell>
          <cell r="E246">
            <v>7.1855329809639309E-4</v>
          </cell>
          <cell r="F246">
            <v>3.0937116595449826E-4</v>
          </cell>
          <cell r="G246">
            <v>3.038660756816045E-4</v>
          </cell>
          <cell r="H246">
            <v>2.0960531556738979E-3</v>
          </cell>
          <cell r="I246">
            <v>5.6371518080235107E-4</v>
          </cell>
          <cell r="J246">
            <v>1.0790547082191071E-3</v>
          </cell>
        </row>
        <row r="247">
          <cell r="B247" t="str">
            <v>RHES-SHSTG-CHPWOD</v>
          </cell>
          <cell r="C247" t="str">
            <v>VAR_fin</v>
          </cell>
          <cell r="D247" t="str">
            <v>RHES_LTH_CHPWOD</v>
          </cell>
          <cell r="E247">
            <v>7.1855329809639309E-4</v>
          </cell>
          <cell r="F247">
            <v>3.0937116595449826E-4</v>
          </cell>
          <cell r="G247">
            <v>3.038660756816045E-4</v>
          </cell>
          <cell r="H247">
            <v>2.0960531556738979E-3</v>
          </cell>
          <cell r="I247">
            <v>5.6371518080235107E-4</v>
          </cell>
          <cell r="J247">
            <v>1.0790547082191071E-3</v>
          </cell>
        </row>
        <row r="248">
          <cell r="B248" t="str">
            <v>RHES-SHSTG-CHPWOD</v>
          </cell>
          <cell r="C248" t="str">
            <v>VAR_ncap</v>
          </cell>
          <cell r="D248" t="str">
            <v>-</v>
          </cell>
          <cell r="E248">
            <v>3.3436055774677502E-3</v>
          </cell>
          <cell r="F248">
            <v>7.67957063619016E-5</v>
          </cell>
          <cell r="G248">
            <v>1.17356621511079E-4</v>
          </cell>
          <cell r="H248">
            <v>9.5555574129196105E-5</v>
          </cell>
          <cell r="I248">
            <v>2.5692289604206702E-4</v>
          </cell>
          <cell r="J248">
            <v>6.3777641329139097E-4</v>
          </cell>
        </row>
        <row r="249">
          <cell r="B249" t="str">
            <v>RHES-SHSTG-CHPWOD</v>
          </cell>
          <cell r="C249" t="str">
            <v>VAR_cap</v>
          </cell>
          <cell r="D249" t="str">
            <v>-</v>
          </cell>
          <cell r="E249">
            <v>3.3436055774677502E-3</v>
          </cell>
          <cell r="F249">
            <v>3.4106010299500369E-3</v>
          </cell>
          <cell r="G249">
            <v>3.4966930145648462E-3</v>
          </cell>
          <cell r="H249">
            <v>3.5498887290752743E-3</v>
          </cell>
          <cell r="I249">
            <v>4.5425095599625903E-3</v>
          </cell>
          <cell r="J249">
            <v>2.5953988572698251E-3</v>
          </cell>
        </row>
        <row r="250">
          <cell r="B250" t="str">
            <v>G-INTC-IND</v>
          </cell>
          <cell r="C250" t="str">
            <v>VAR_fout</v>
          </cell>
          <cell r="D250" t="str">
            <v>ELC35</v>
          </cell>
          <cell r="E250">
            <v>1.0484853737634067E-2</v>
          </cell>
          <cell r="F250">
            <v>4.2121385017436499E-3</v>
          </cell>
          <cell r="G250">
            <v>4.6471638568291382E-3</v>
          </cell>
          <cell r="H250">
            <v>2.1685368936265209E-3</v>
          </cell>
          <cell r="I250">
            <v>9.6730813496393874E-4</v>
          </cell>
          <cell r="J250">
            <v>6.0504227807079845E-4</v>
          </cell>
        </row>
        <row r="251">
          <cell r="B251" t="str">
            <v>G-INTC-IND</v>
          </cell>
          <cell r="C251" t="str">
            <v>VAR_fout</v>
          </cell>
          <cell r="D251" t="str">
            <v>ITOT_ELC</v>
          </cell>
          <cell r="E251">
            <v>55.835675058691976</v>
          </cell>
          <cell r="F251">
            <v>57.052776732242833</v>
          </cell>
          <cell r="G251">
            <v>52.874524465143118</v>
          </cell>
          <cell r="H251">
            <v>50.383226526454266</v>
          </cell>
          <cell r="I251">
            <v>73.922782835519143</v>
          </cell>
          <cell r="J251">
            <v>67.184933599565824</v>
          </cell>
        </row>
        <row r="252">
          <cell r="B252" t="str">
            <v>G-INTC-IND</v>
          </cell>
          <cell r="C252" t="str">
            <v>VAR_fout</v>
          </cell>
          <cell r="D252" t="str">
            <v>ELC13</v>
          </cell>
          <cell r="E252">
            <v>9.7605098870334299E-3</v>
          </cell>
          <cell r="F252">
            <v>2.6826336812763372E-3</v>
          </cell>
          <cell r="G252">
            <v>3.6380169435591015E-3</v>
          </cell>
          <cell r="H252">
            <v>1.8795349458892449E-3</v>
          </cell>
          <cell r="I252">
            <v>5.0129063732005442E-4</v>
          </cell>
          <cell r="J252">
            <v>9.907322814974545E-4</v>
          </cell>
        </row>
        <row r="253">
          <cell r="B253" t="str">
            <v>G-INTC-IND</v>
          </cell>
          <cell r="C253" t="str">
            <v>VAR_fin</v>
          </cell>
          <cell r="D253" t="str">
            <v>ELC3</v>
          </cell>
          <cell r="E253">
            <v>25.766664246657641</v>
          </cell>
          <cell r="F253">
            <v>57.050086527072061</v>
          </cell>
          <cell r="G253">
            <v>52.867441665721145</v>
          </cell>
          <cell r="H253">
            <v>23.085306552004965</v>
          </cell>
          <cell r="I253">
            <v>33.576182146137846</v>
          </cell>
          <cell r="J253">
            <v>30.319467026814319</v>
          </cell>
        </row>
        <row r="254">
          <cell r="B254" t="str">
            <v>G-INTC-IND</v>
          </cell>
          <cell r="C254" t="str">
            <v>VAR_fin</v>
          </cell>
          <cell r="D254" t="str">
            <v>ELC5</v>
          </cell>
          <cell r="E254">
            <v>30.089201909987089</v>
          </cell>
          <cell r="F254">
            <v>9.5636616051620171E-3</v>
          </cell>
          <cell r="G254">
            <v>1.5338924560784525E-2</v>
          </cell>
          <cell r="H254">
            <v>27.301925798908098</v>
          </cell>
          <cell r="I254">
            <v>40.348069288153553</v>
          </cell>
          <cell r="J254">
            <v>36.866964287223901</v>
          </cell>
        </row>
        <row r="255">
          <cell r="B255" t="str">
            <v>G-INTC-IND</v>
          </cell>
          <cell r="C255" t="str">
            <v>VAR_ncap</v>
          </cell>
          <cell r="D255" t="str">
            <v>-</v>
          </cell>
          <cell r="E255">
            <v>1.8961525512704599E-7</v>
          </cell>
          <cell r="F255">
            <v>1.7919589031044899E-7</v>
          </cell>
          <cell r="G255">
            <v>1.24474414695089E-7</v>
          </cell>
          <cell r="H255">
            <v>1.61339850447862E-7</v>
          </cell>
          <cell r="I255">
            <v>1.0875900259332801E-7</v>
          </cell>
          <cell r="J255">
            <v>3.7720821934403802E-7</v>
          </cell>
        </row>
        <row r="256">
          <cell r="B256" t="str">
            <v>G-INTC-IND</v>
          </cell>
          <cell r="C256" t="str">
            <v>VAR_cap</v>
          </cell>
          <cell r="D256" t="str">
            <v>-</v>
          </cell>
          <cell r="E256">
            <v>4.4927373631622096</v>
          </cell>
          <cell r="F256">
            <v>4.4927374248131757</v>
          </cell>
          <cell r="G256">
            <v>4.4927377319733548</v>
          </cell>
          <cell r="H256">
            <v>4.4927379452152358</v>
          </cell>
          <cell r="I256">
            <v>4.4927381427852824</v>
          </cell>
          <cell r="J256">
            <v>4.4927384782985209</v>
          </cell>
        </row>
        <row r="257">
          <cell r="B257" t="str">
            <v>D-IH2R</v>
          </cell>
          <cell r="C257" t="str">
            <v>VAR_fout</v>
          </cell>
          <cell r="D257" t="str">
            <v>IH2</v>
          </cell>
          <cell r="E257"/>
          <cell r="F257"/>
          <cell r="G257"/>
          <cell r="H257"/>
          <cell r="I257">
            <v>1.0855644635978057</v>
          </cell>
          <cell r="J257">
            <v>7.8115306528090898</v>
          </cell>
        </row>
        <row r="258">
          <cell r="B258" t="str">
            <v>D-IH2R</v>
          </cell>
          <cell r="C258" t="str">
            <v>VAR_fin</v>
          </cell>
          <cell r="D258" t="str">
            <v>H2</v>
          </cell>
          <cell r="E258"/>
          <cell r="F258"/>
          <cell r="G258"/>
          <cell r="H258"/>
          <cell r="I258">
            <v>1.0855644635978057</v>
          </cell>
          <cell r="J258">
            <v>7.8115306528090898</v>
          </cell>
        </row>
        <row r="259">
          <cell r="B259" t="str">
            <v>D-IH2R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1.22193267856747E-6</v>
          </cell>
          <cell r="I259">
            <v>3.8662937074314098E-2</v>
          </cell>
          <cell r="J259">
            <v>0.26199189672974499</v>
          </cell>
        </row>
        <row r="260">
          <cell r="B260" t="str">
            <v>D-IH2R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1.22193267856747E-6</v>
          </cell>
          <cell r="I260">
            <v>4.5737370007005701E-2</v>
          </cell>
          <cell r="J260">
            <v>0.27523477413923703</v>
          </cell>
        </row>
        <row r="261">
          <cell r="B261" t="str">
            <v>ESOL-PV_E</v>
          </cell>
          <cell r="C261" t="str">
            <v>VAR_fout</v>
          </cell>
          <cell r="D261" t="str">
            <v>CELC_E</v>
          </cell>
          <cell r="E261"/>
          <cell r="F261"/>
          <cell r="G261"/>
          <cell r="H261">
            <v>6.5329995904632192E-7</v>
          </cell>
          <cell r="I261">
            <v>2.4577621771742205E-5</v>
          </cell>
          <cell r="J261">
            <v>1.7237949767177734E-5</v>
          </cell>
        </row>
        <row r="262">
          <cell r="B262" t="str">
            <v>ESOL-PV_E</v>
          </cell>
          <cell r="C262" t="str">
            <v>VAR_fin</v>
          </cell>
          <cell r="D262" t="str">
            <v>SOL</v>
          </cell>
          <cell r="E262"/>
          <cell r="F262"/>
          <cell r="G262"/>
          <cell r="H262">
            <v>6.5329995904632192E-7</v>
          </cell>
          <cell r="I262">
            <v>2.4577621771742205E-5</v>
          </cell>
          <cell r="J262">
            <v>1.7237949767177734E-5</v>
          </cell>
        </row>
        <row r="263">
          <cell r="B263" t="str">
            <v>ESOL-PV_E</v>
          </cell>
          <cell r="C263" t="str">
            <v>VAR_fin</v>
          </cell>
          <cell r="D263" t="str">
            <v>SOLPVC</v>
          </cell>
          <cell r="E263"/>
          <cell r="F263"/>
          <cell r="G263"/>
          <cell r="H263">
            <v>6.5329995904632097E-7</v>
          </cell>
          <cell r="I263">
            <v>2.4577621771742198E-5</v>
          </cell>
          <cell r="J263">
            <v>1.72379497671777E-5</v>
          </cell>
        </row>
        <row r="264">
          <cell r="B264" t="str">
            <v>ESOL-PV_E</v>
          </cell>
          <cell r="C264" t="str">
            <v>VAR_ncap</v>
          </cell>
          <cell r="D264" t="str">
            <v>-</v>
          </cell>
          <cell r="E264"/>
          <cell r="F264"/>
          <cell r="G264"/>
          <cell r="H264">
            <v>3.0763702497962502E-7</v>
          </cell>
          <cell r="I264">
            <v>1.20329792378946E-5</v>
          </cell>
          <cell r="J264">
            <v>1.34084946837359E-7</v>
          </cell>
        </row>
        <row r="265">
          <cell r="B265" t="str">
            <v>ESOL-PV_E</v>
          </cell>
          <cell r="C265" t="str">
            <v>VAR_cap</v>
          </cell>
          <cell r="D265" t="str">
            <v>-</v>
          </cell>
          <cell r="E265"/>
          <cell r="F265"/>
          <cell r="G265"/>
          <cell r="H265">
            <v>3.0763702497962502E-7</v>
          </cell>
          <cell r="I265">
            <v>1.8119306566132401E-5</v>
          </cell>
          <cell r="J265">
            <v>1.8253391512969799E-5</v>
          </cell>
        </row>
        <row r="266">
          <cell r="B266" t="str">
            <v>EWSTINC</v>
          </cell>
          <cell r="C266" t="str">
            <v>VAR_fout</v>
          </cell>
          <cell r="D266" t="str">
            <v>ELC35</v>
          </cell>
          <cell r="E266">
            <v>6.5070024678129039</v>
          </cell>
          <cell r="F266">
            <v>7.3027680641265373</v>
          </cell>
          <cell r="G266">
            <v>8.1987449780166877</v>
          </cell>
          <cell r="H266">
            <v>7.3981391097910283</v>
          </cell>
          <cell r="I266">
            <v>7.7443909415744345</v>
          </cell>
          <cell r="J266">
            <v>4.6999721520593658</v>
          </cell>
        </row>
        <row r="267">
          <cell r="B267" t="str">
            <v>EWSTINC</v>
          </cell>
          <cell r="C267" t="str">
            <v>VAR_fout</v>
          </cell>
          <cell r="D267" t="str">
            <v>CO2_E</v>
          </cell>
          <cell r="E267">
            <v>1689.29383709287</v>
          </cell>
          <cell r="F267">
            <v>1895.8838797849801</v>
          </cell>
          <cell r="G267">
            <v>2128.4899509059001</v>
          </cell>
          <cell r="H267">
            <v>1920.6433170950199</v>
          </cell>
          <cell r="I267">
            <v>2010.53433656323</v>
          </cell>
          <cell r="J267">
            <v>1220.1676624921599</v>
          </cell>
        </row>
        <row r="268">
          <cell r="B268" t="str">
            <v>EWSTINC</v>
          </cell>
          <cell r="C268" t="str">
            <v>VAR_fin</v>
          </cell>
          <cell r="D268" t="str">
            <v>EWST</v>
          </cell>
          <cell r="E268">
            <v>18.203597382466217</v>
          </cell>
          <cell r="F268">
            <v>20.429783187338103</v>
          </cell>
          <cell r="G268">
            <v>22.936314126141184</v>
          </cell>
          <cell r="H268">
            <v>20.69658746869635</v>
          </cell>
          <cell r="I268">
            <v>21.665240695724457</v>
          </cell>
          <cell r="J268">
            <v>13.148358432027582</v>
          </cell>
        </row>
        <row r="269">
          <cell r="B269" t="str">
            <v>EWSTINC</v>
          </cell>
          <cell r="C269" t="str">
            <v>VAR_ncap</v>
          </cell>
          <cell r="D269" t="str">
            <v>-</v>
          </cell>
          <cell r="E269"/>
          <cell r="F269">
            <v>5.7917313612125495E-7</v>
          </cell>
          <cell r="G269">
            <v>2.3189136421135199E-6</v>
          </cell>
          <cell r="H269">
            <v>5.4111735830389501E-2</v>
          </cell>
          <cell r="I269">
            <v>5.4344944799180499E-2</v>
          </cell>
          <cell r="J269">
            <v>1.3810390948354601E-7</v>
          </cell>
        </row>
        <row r="270">
          <cell r="B270" t="str">
            <v>EWSTINC</v>
          </cell>
          <cell r="C270" t="str">
            <v>VAR_cap</v>
          </cell>
          <cell r="D270" t="str">
            <v>-</v>
          </cell>
          <cell r="E270">
            <v>0.30587155596318022</v>
          </cell>
          <cell r="F270">
            <v>0.30586696919522094</v>
          </cell>
          <cell r="G270">
            <v>0.30586021122318746</v>
          </cell>
          <cell r="H270">
            <v>0.27599289766152679</v>
          </cell>
          <cell r="I270">
            <v>0.30103237068741978</v>
          </cell>
          <cell r="J270">
            <v>0.18727981324294232</v>
          </cell>
        </row>
        <row r="271">
          <cell r="B271" t="str">
            <v>D-IBIO</v>
          </cell>
          <cell r="C271" t="str">
            <v>VAR_fout</v>
          </cell>
          <cell r="D271" t="str">
            <v>IBIO</v>
          </cell>
          <cell r="E271">
            <v>0.43678897104158904</v>
          </cell>
          <cell r="F271">
            <v>0.5520809943217172</v>
          </cell>
          <cell r="G271">
            <v>0.55435557621463849</v>
          </cell>
          <cell r="H271">
            <v>0.55434620857990757</v>
          </cell>
          <cell r="I271">
            <v>0.5543435267172806</v>
          </cell>
          <cell r="J271">
            <v>0.55434299213224747</v>
          </cell>
        </row>
        <row r="272">
          <cell r="B272" t="str">
            <v>D-IBIO</v>
          </cell>
          <cell r="C272" t="str">
            <v>VAR_fin</v>
          </cell>
          <cell r="D272" t="str">
            <v>BIO</v>
          </cell>
          <cell r="E272">
            <v>0.43678897104158904</v>
          </cell>
          <cell r="F272">
            <v>0.5520809943217172</v>
          </cell>
          <cell r="G272">
            <v>0.55435557621463849</v>
          </cell>
          <cell r="H272">
            <v>0.55434620857990757</v>
          </cell>
          <cell r="I272">
            <v>0.5543435267172806</v>
          </cell>
          <cell r="J272">
            <v>0.55434299213224747</v>
          </cell>
        </row>
        <row r="273">
          <cell r="B273" t="str">
            <v>D-EWOD</v>
          </cell>
          <cell r="C273" t="str">
            <v>VAR_fout</v>
          </cell>
          <cell r="D273" t="str">
            <v>EWOD</v>
          </cell>
          <cell r="E273">
            <v>3.1544541191181681</v>
          </cell>
          <cell r="F273">
            <v>2.8812918426493233</v>
          </cell>
          <cell r="G273">
            <v>2.4400573230152114</v>
          </cell>
          <cell r="H273">
            <v>4.6442653942914429</v>
          </cell>
          <cell r="I273">
            <v>4.5991230736981619</v>
          </cell>
          <cell r="J273">
            <v>7.4609492986128929</v>
          </cell>
        </row>
        <row r="274">
          <cell r="B274" t="str">
            <v>D-EWOD</v>
          </cell>
          <cell r="C274" t="str">
            <v>VAR_fin</v>
          </cell>
          <cell r="D274" t="str">
            <v>WOD</v>
          </cell>
          <cell r="E274">
            <v>3.1544541191181681</v>
          </cell>
          <cell r="F274">
            <v>2.8812918426493233</v>
          </cell>
          <cell r="G274">
            <v>2.4400573230152114</v>
          </cell>
          <cell r="H274">
            <v>4.6442653942914429</v>
          </cell>
          <cell r="I274">
            <v>4.5991230736981619</v>
          </cell>
          <cell r="J274">
            <v>7.4609492986128929</v>
          </cell>
        </row>
        <row r="275">
          <cell r="B275" t="str">
            <v>HPLWOD</v>
          </cell>
          <cell r="C275" t="str">
            <v>VAR_fout</v>
          </cell>
          <cell r="D275" t="str">
            <v>LTH</v>
          </cell>
          <cell r="E275">
            <v>2.2022598100286581</v>
          </cell>
          <cell r="F275">
            <v>1.9875335625921808</v>
          </cell>
          <cell r="G275">
            <v>1.7040745041874763</v>
          </cell>
          <cell r="H275">
            <v>1.318581997713272</v>
          </cell>
          <cell r="I275">
            <v>0.7894856492918636</v>
          </cell>
          <cell r="J275">
            <v>0.47270377985208351</v>
          </cell>
        </row>
        <row r="276">
          <cell r="B276" t="str">
            <v>HPLWOD</v>
          </cell>
          <cell r="C276" t="str">
            <v>VAR_fin</v>
          </cell>
          <cell r="D276" t="str">
            <v>EWOD</v>
          </cell>
          <cell r="E276">
            <v>3.146085442898082</v>
          </cell>
          <cell r="F276">
            <v>2.8393336608459734</v>
          </cell>
          <cell r="G276">
            <v>2.4343921488392515</v>
          </cell>
          <cell r="H276">
            <v>1.883688568161817</v>
          </cell>
          <cell r="I276">
            <v>1.1278366418455199</v>
          </cell>
          <cell r="J276">
            <v>0.67529111407440523</v>
          </cell>
        </row>
        <row r="277">
          <cell r="B277" t="str">
            <v>HPLWOD</v>
          </cell>
          <cell r="C277" t="str">
            <v>VAR_ncap</v>
          </cell>
          <cell r="D277" t="str">
            <v>-</v>
          </cell>
          <cell r="E277">
            <v>0.27934459387836502</v>
          </cell>
          <cell r="F277">
            <v>2.8635519284357998E-6</v>
          </cell>
          <cell r="G277">
            <v>3.0025424898804E-6</v>
          </cell>
          <cell r="H277">
            <v>3.0553643384608999E-6</v>
          </cell>
          <cell r="I277">
            <v>2.4445772223111398E-3</v>
          </cell>
          <cell r="J277">
            <v>6.7859439483144698E-2</v>
          </cell>
        </row>
        <row r="278">
          <cell r="B278" t="str">
            <v>HPLWOD</v>
          </cell>
          <cell r="C278" t="str">
            <v>VAR_cap</v>
          </cell>
          <cell r="D278" t="str">
            <v>-</v>
          </cell>
          <cell r="E278">
            <v>0.27934459387836502</v>
          </cell>
          <cell r="F278">
            <v>0.27934745743029299</v>
          </cell>
          <cell r="G278">
            <v>0.27935045997278302</v>
          </cell>
          <cell r="H278">
            <v>0.27935351533712199</v>
          </cell>
          <cell r="I278">
            <v>0.100223488237714</v>
          </cell>
          <cell r="J278">
            <v>7.0322379297347498E-2</v>
          </cell>
        </row>
        <row r="279">
          <cell r="B279" t="str">
            <v>ENGA-GTCC</v>
          </cell>
          <cell r="C279" t="str">
            <v>VAR_fout</v>
          </cell>
          <cell r="D279" t="str">
            <v>ELC13</v>
          </cell>
          <cell r="E279"/>
          <cell r="F279"/>
          <cell r="G279"/>
          <cell r="H279"/>
          <cell r="I279">
            <v>9.3539846767742591E-4</v>
          </cell>
          <cell r="J279">
            <v>6.9485621611263867E-3</v>
          </cell>
        </row>
        <row r="280">
          <cell r="B280" t="str">
            <v>ENGA-GTCC</v>
          </cell>
          <cell r="C280" t="str">
            <v>VAR_fout</v>
          </cell>
          <cell r="D280" t="str">
            <v>CO2_E</v>
          </cell>
          <cell r="E280"/>
          <cell r="F280"/>
          <cell r="G280"/>
          <cell r="H280"/>
          <cell r="I280">
            <v>9.46433702385336E-2</v>
          </cell>
          <cell r="J280">
            <v>0.62687494085725304</v>
          </cell>
        </row>
        <row r="281">
          <cell r="B281" t="str">
            <v>ENGA-GTCC</v>
          </cell>
          <cell r="C281" t="str">
            <v>VAR_fin</v>
          </cell>
          <cell r="D281" t="str">
            <v>ENGA</v>
          </cell>
          <cell r="E281"/>
          <cell r="F281"/>
          <cell r="G281"/>
          <cell r="H281"/>
          <cell r="I281">
            <v>1.6780739403995312E-3</v>
          </cell>
          <cell r="J281">
            <v>1.1114803915908749E-2</v>
          </cell>
        </row>
        <row r="282">
          <cell r="B282" t="str">
            <v>ENGA-GTCC</v>
          </cell>
          <cell r="C282" t="str">
            <v>VAR_fin</v>
          </cell>
          <cell r="D282" t="str">
            <v>GTC</v>
          </cell>
          <cell r="E282"/>
          <cell r="F282"/>
          <cell r="G282"/>
          <cell r="H282"/>
          <cell r="I282">
            <v>1.8677065959692301E-4</v>
          </cell>
          <cell r="J282">
            <v>3.8608097824191257E-4</v>
          </cell>
        </row>
        <row r="283">
          <cell r="B283" t="str">
            <v>ENGA-GTCC</v>
          </cell>
          <cell r="C283" t="str">
            <v>VAR_ncap</v>
          </cell>
          <cell r="D283" t="str">
            <v>-</v>
          </cell>
          <cell r="E283"/>
          <cell r="F283"/>
          <cell r="G283"/>
          <cell r="H283"/>
          <cell r="I283">
            <v>3.8790223258782902E-4</v>
          </cell>
          <cell r="J283">
            <v>1.9342566620511201E-6</v>
          </cell>
        </row>
        <row r="284">
          <cell r="B284" t="str">
            <v>ENGA-GTCC</v>
          </cell>
          <cell r="C284" t="str">
            <v>VAR_cap</v>
          </cell>
          <cell r="D284" t="str">
            <v>-</v>
          </cell>
          <cell r="E284"/>
          <cell r="F284"/>
          <cell r="G284"/>
          <cell r="H284"/>
          <cell r="I284">
            <v>1.8677065959692301E-4</v>
          </cell>
          <cell r="J284">
            <v>3.86080978241913E-4</v>
          </cell>
        </row>
        <row r="285">
          <cell r="B285" t="str">
            <v>D-SNGA</v>
          </cell>
          <cell r="C285" t="str">
            <v>VAR_fout</v>
          </cell>
          <cell r="D285" t="str">
            <v>CO2</v>
          </cell>
          <cell r="E285">
            <v>1523.7325557680699</v>
          </cell>
          <cell r="F285">
            <v>1502.46001948503</v>
          </cell>
          <cell r="G285">
            <v>1291.8314900717501</v>
          </cell>
          <cell r="H285">
            <v>873.10199683864596</v>
          </cell>
          <cell r="I285">
            <v>205.27419983798299</v>
          </cell>
          <cell r="J285">
            <v>7.9009560130717196</v>
          </cell>
        </row>
        <row r="286">
          <cell r="B286" t="str">
            <v>D-SNGA</v>
          </cell>
          <cell r="C286" t="str">
            <v>VAR_fout</v>
          </cell>
          <cell r="D286" t="str">
            <v>SNGA</v>
          </cell>
          <cell r="E286">
            <v>27.236418437337111</v>
          </cell>
          <cell r="F286">
            <v>28.488371342321891</v>
          </cell>
          <cell r="G286">
            <v>23.039944057721428</v>
          </cell>
          <cell r="H286">
            <v>15.431931483591708</v>
          </cell>
          <cell r="I286">
            <v>5.045286131456816</v>
          </cell>
          <cell r="J286">
            <v>2.9643340674660323</v>
          </cell>
        </row>
        <row r="287">
          <cell r="B287" t="str">
            <v>D-SNGA</v>
          </cell>
          <cell r="C287" t="str">
            <v>VAR_fout</v>
          </cell>
          <cell r="D287" t="str">
            <v>RSH2</v>
          </cell>
          <cell r="E287"/>
          <cell r="F287"/>
          <cell r="G287"/>
          <cell r="H287">
            <v>2.7912344742000716E-3</v>
          </cell>
          <cell r="I287">
            <v>5.4314662550820241E-4</v>
          </cell>
          <cell r="J287">
            <v>1.3859280952921929E-2</v>
          </cell>
        </row>
        <row r="288">
          <cell r="B288" t="str">
            <v>D-SNGA</v>
          </cell>
          <cell r="C288" t="str">
            <v>VAR_fin</v>
          </cell>
          <cell r="D288" t="str">
            <v>NGA</v>
          </cell>
          <cell r="E288">
            <v>27.016534676738925</v>
          </cell>
          <cell r="F288">
            <v>26.639362047606845</v>
          </cell>
          <cell r="G288">
            <v>22.904813653754491</v>
          </cell>
          <cell r="H288">
            <v>15.480531858841246</v>
          </cell>
          <cell r="I288">
            <v>3.6396134723046591</v>
          </cell>
          <cell r="J288">
            <v>0.14008787257219335</v>
          </cell>
        </row>
        <row r="289">
          <cell r="B289" t="str">
            <v>D-SNGA</v>
          </cell>
          <cell r="C289" t="str">
            <v>VAR_fin</v>
          </cell>
          <cell r="D289" t="str">
            <v>BNGA</v>
          </cell>
          <cell r="E289">
            <v>0.30689375644678984</v>
          </cell>
          <cell r="F289">
            <v>1.9400188038372221</v>
          </cell>
          <cell r="G289">
            <v>0.20873426056158659</v>
          </cell>
          <cell r="H289">
            <v>8.1870404320378632E-4</v>
          </cell>
          <cell r="I289">
            <v>1.4219323677440694</v>
          </cell>
          <cell r="J289">
            <v>2.8343191083269872</v>
          </cell>
        </row>
        <row r="290">
          <cell r="B290" t="str">
            <v>D-SNGA</v>
          </cell>
          <cell r="C290" t="str">
            <v>VAR_fin</v>
          </cell>
          <cell r="D290" t="str">
            <v>H2</v>
          </cell>
          <cell r="E290"/>
          <cell r="F290"/>
          <cell r="G290"/>
          <cell r="H290">
            <v>2.7879371574038173E-3</v>
          </cell>
          <cell r="I290">
            <v>5.3296733620923772E-4</v>
          </cell>
          <cell r="J290">
            <v>1.3842806642182357E-2</v>
          </cell>
        </row>
        <row r="291">
          <cell r="B291" t="str">
            <v>D-SNGA</v>
          </cell>
          <cell r="C291" t="str">
            <v>VAR_ncap</v>
          </cell>
          <cell r="D291" t="str">
            <v>-</v>
          </cell>
          <cell r="E291">
            <v>1.67942359656931E-5</v>
          </cell>
          <cell r="F291">
            <v>3.1678718790335098E-7</v>
          </cell>
          <cell r="G291">
            <v>4.8341239678750196E-7</v>
          </cell>
          <cell r="H291">
            <v>7.9234319901921602E-7</v>
          </cell>
          <cell r="I291">
            <v>1.61539932667644E-6</v>
          </cell>
          <cell r="J291">
            <v>3.0726743372456601E-6</v>
          </cell>
        </row>
        <row r="292">
          <cell r="B292" t="str">
            <v>D-SNGA</v>
          </cell>
          <cell r="C292" t="str">
            <v>VAR_cap</v>
          </cell>
          <cell r="D292" t="str">
            <v>-</v>
          </cell>
          <cell r="E292">
            <v>2.2350689958611061</v>
          </cell>
          <cell r="F292">
            <v>2.2350693126482937</v>
          </cell>
          <cell r="G292">
            <v>2.2350697960606905</v>
          </cell>
          <cell r="H292">
            <v>2.2350705884038895</v>
          </cell>
          <cell r="I292">
            <v>2.235073503091507</v>
          </cell>
          <cell r="J292">
            <v>1.120914876629564</v>
          </cell>
        </row>
        <row r="293">
          <cell r="B293" t="str">
            <v>RHES-CHPWOD</v>
          </cell>
          <cell r="C293" t="str">
            <v>VAR_fout</v>
          </cell>
          <cell r="D293" t="str">
            <v>RHES_KEV_WOD_ELC_CHP</v>
          </cell>
          <cell r="E293"/>
          <cell r="F293"/>
          <cell r="G293"/>
          <cell r="H293">
            <v>4.6206194023703281E-4</v>
          </cell>
          <cell r="I293">
            <v>2.9099480568068746E-4</v>
          </cell>
          <cell r="J293">
            <v>3.4616885551723902E-4</v>
          </cell>
        </row>
        <row r="294">
          <cell r="B294" t="str">
            <v>RHES-CHPWOD</v>
          </cell>
          <cell r="C294" t="str">
            <v>VAR_fout</v>
          </cell>
          <cell r="D294" t="str">
            <v>RHES_LTH_CHPWOD</v>
          </cell>
          <cell r="E294"/>
          <cell r="F294"/>
          <cell r="G294"/>
          <cell r="H294">
            <v>1.247367545722433E-3</v>
          </cell>
          <cell r="I294">
            <v>7.5309904797877484E-4</v>
          </cell>
          <cell r="J294">
            <v>8.6033913646217869E-4</v>
          </cell>
        </row>
        <row r="295">
          <cell r="B295" t="str">
            <v>RHES-CHPWOD</v>
          </cell>
          <cell r="C295" t="str">
            <v>VAR_fin</v>
          </cell>
          <cell r="D295" t="str">
            <v>RWOD</v>
          </cell>
          <cell r="E295"/>
          <cell r="F295"/>
          <cell r="G295"/>
          <cell r="H295">
            <v>4.1111229032120928E-3</v>
          </cell>
          <cell r="I295">
            <v>1.357415245921046E-3</v>
          </cell>
          <cell r="J295">
            <v>1.3370093027162257E-3</v>
          </cell>
        </row>
        <row r="296">
          <cell r="B296" t="str">
            <v>RHES-CHPWOD</v>
          </cell>
          <cell r="C296" t="str">
            <v>VAR_ncap</v>
          </cell>
          <cell r="D296" t="str">
            <v>-</v>
          </cell>
          <cell r="E296"/>
          <cell r="F296"/>
          <cell r="G296"/>
          <cell r="H296">
            <v>4.3526927890181001E-5</v>
          </cell>
          <cell r="I296">
            <v>3.4533127617171698E-7</v>
          </cell>
          <cell r="J296">
            <v>2.2997327846601501E-5</v>
          </cell>
        </row>
        <row r="297">
          <cell r="B297" t="str">
            <v>RHES-CHPWOD</v>
          </cell>
          <cell r="C297" t="str">
            <v>VAR_cap</v>
          </cell>
          <cell r="D297" t="str">
            <v>-</v>
          </cell>
          <cell r="E297"/>
          <cell r="F297"/>
          <cell r="G297"/>
          <cell r="H297">
            <v>4.3526927890181001E-5</v>
          </cell>
          <cell r="I297">
            <v>4.9466605254422485E-5</v>
          </cell>
          <cell r="J297">
            <v>3.1503783509629612E-5</v>
          </cell>
        </row>
        <row r="298">
          <cell r="B298" t="str">
            <v>G-INTC-RES</v>
          </cell>
          <cell r="C298" t="str">
            <v>VAR_fout</v>
          </cell>
          <cell r="D298" t="str">
            <v>RHNS_ELC</v>
          </cell>
          <cell r="E298">
            <v>11.712818252647134</v>
          </cell>
          <cell r="F298">
            <v>14.914666220092764</v>
          </cell>
          <cell r="G298">
            <v>15.557243914865049</v>
          </cell>
          <cell r="H298">
            <v>15.329017156903827</v>
          </cell>
          <cell r="I298">
            <v>14.177516152502243</v>
          </cell>
          <cell r="J298">
            <v>14.341117324426166</v>
          </cell>
        </row>
        <row r="299">
          <cell r="B299" t="str">
            <v>G-INTC-RES</v>
          </cell>
          <cell r="C299" t="str">
            <v>VAR_fout</v>
          </cell>
          <cell r="D299" t="str">
            <v>ELC35</v>
          </cell>
          <cell r="E299">
            <v>41.920770673551324</v>
          </cell>
          <cell r="F299">
            <v>9.6805194255994865E-3</v>
          </cell>
          <cell r="G299">
            <v>1.5971295355496601E-2</v>
          </cell>
          <cell r="H299">
            <v>1.3964950036340089E-2</v>
          </cell>
          <cell r="I299">
            <v>7.6027101220359032E-4</v>
          </cell>
          <cell r="J299">
            <v>0.26809404468819964</v>
          </cell>
        </row>
        <row r="300">
          <cell r="B300" t="str">
            <v>G-INTC-RES</v>
          </cell>
          <cell r="C300" t="str">
            <v>VAR_fout</v>
          </cell>
          <cell r="D300" t="str">
            <v>RHES_ELC</v>
          </cell>
          <cell r="E300">
            <v>22.490294912791676</v>
          </cell>
          <cell r="F300">
            <v>19.12476652691333</v>
          </cell>
          <cell r="G300">
            <v>19.628887631841746</v>
          </cell>
          <cell r="H300">
            <v>19.797950910899718</v>
          </cell>
          <cell r="I300">
            <v>19.587964115021702</v>
          </cell>
          <cell r="J300">
            <v>18.861434124952808</v>
          </cell>
        </row>
        <row r="301">
          <cell r="B301" t="str">
            <v>G-INTC-RES</v>
          </cell>
          <cell r="C301" t="str">
            <v>VAR_fout</v>
          </cell>
          <cell r="D301" t="str">
            <v>RHNM_ELC</v>
          </cell>
          <cell r="E301">
            <v>12.898417014784807</v>
          </cell>
          <cell r="F301">
            <v>14.941289741406846</v>
          </cell>
          <cell r="G301">
            <v>15.162559344040888</v>
          </cell>
          <cell r="H301">
            <v>14.593952113413875</v>
          </cell>
          <cell r="I301">
            <v>13.441074259903486</v>
          </cell>
          <cell r="J301">
            <v>13.81758134301054</v>
          </cell>
        </row>
        <row r="302">
          <cell r="B302" t="str">
            <v>G-INTC-RES</v>
          </cell>
          <cell r="C302" t="str">
            <v>VAR_fout</v>
          </cell>
          <cell r="D302" t="str">
            <v>RHEM_ELC</v>
          </cell>
          <cell r="E302">
            <v>23.457044572877606</v>
          </cell>
          <cell r="F302">
            <v>18.994405205594809</v>
          </cell>
          <cell r="G302">
            <v>16.994698994470362</v>
          </cell>
          <cell r="H302">
            <v>17.738507057688263</v>
          </cell>
          <cell r="I302">
            <v>17.689787511839945</v>
          </cell>
          <cell r="J302">
            <v>17.245561111657729</v>
          </cell>
        </row>
        <row r="303">
          <cell r="B303" t="str">
            <v>G-INTC-RES</v>
          </cell>
          <cell r="C303" t="str">
            <v>VAR_fin</v>
          </cell>
          <cell r="D303" t="str">
            <v>ELC5</v>
          </cell>
          <cell r="E303">
            <v>112.47918181965505</v>
          </cell>
          <cell r="F303">
            <v>67.984808213433382</v>
          </cell>
          <cell r="G303">
            <v>67.359361180573558</v>
          </cell>
          <cell r="H303">
            <v>67.473392188942029</v>
          </cell>
          <cell r="I303">
            <v>64.897102310279564</v>
          </cell>
          <cell r="J303">
            <v>64.533787948735451</v>
          </cell>
        </row>
        <row r="304">
          <cell r="B304" t="str">
            <v>G-INTC-RES</v>
          </cell>
          <cell r="C304" t="str">
            <v>VAR_ncap</v>
          </cell>
          <cell r="D304" t="str">
            <v>-</v>
          </cell>
          <cell r="E304">
            <v>8.4501530006813705E-8</v>
          </cell>
          <cell r="F304">
            <v>8.0090561044774302E-8</v>
          </cell>
          <cell r="G304">
            <v>5.6782816405728001E-8</v>
          </cell>
          <cell r="H304">
            <v>9.0866593050015504E-8</v>
          </cell>
          <cell r="I304">
            <v>8.3306034233680703E-8</v>
          </cell>
          <cell r="J304">
            <v>2.1378883921868599E-7</v>
          </cell>
        </row>
        <row r="305">
          <cell r="B305" t="str">
            <v>G-INTC-RES</v>
          </cell>
          <cell r="C305" t="str">
            <v>VAR_cap</v>
          </cell>
          <cell r="D305" t="str">
            <v>-</v>
          </cell>
          <cell r="E305">
            <v>4.3300925142827298</v>
          </cell>
          <cell r="F305">
            <v>4.3300925417573177</v>
          </cell>
          <cell r="G305">
            <v>4.3300926788748209</v>
          </cell>
          <cell r="H305">
            <v>4.3300927856514679</v>
          </cell>
          <cell r="I305">
            <v>4.3300929289749881</v>
          </cell>
          <cell r="J305">
            <v>4.3300931303661256</v>
          </cell>
        </row>
        <row r="306">
          <cell r="B306" t="str">
            <v>SCOM-CHPNGA</v>
          </cell>
          <cell r="C306" t="str">
            <v>VAR_fout</v>
          </cell>
          <cell r="D306" t="str">
            <v>CO2_S</v>
          </cell>
          <cell r="E306">
            <v>95.187416469446902</v>
          </cell>
          <cell r="F306">
            <v>98.055709456398105</v>
          </cell>
          <cell r="G306">
            <v>1.8146174589011601</v>
          </cell>
          <cell r="H306">
            <v>1.14509377872276</v>
          </cell>
          <cell r="I306">
            <v>4.8907957296739399E-2</v>
          </cell>
          <cell r="J306">
            <v>4.2509429592509002E-2</v>
          </cell>
        </row>
        <row r="307">
          <cell r="B307" t="str">
            <v>SCOM-CHPNGA</v>
          </cell>
          <cell r="C307" t="str">
            <v>VAR_fout</v>
          </cell>
          <cell r="D307" t="str">
            <v>SCOM_NKEV_GAS_ELC_CHP</v>
          </cell>
          <cell r="E307">
            <v>0.59442841007057878</v>
          </cell>
          <cell r="F307">
            <v>0.62589322174076079</v>
          </cell>
          <cell r="G307">
            <v>9.0051710877723304E-3</v>
          </cell>
          <cell r="H307">
            <v>6.0347132375950553E-3</v>
          </cell>
          <cell r="I307">
            <v>2.7693205839182119E-4</v>
          </cell>
          <cell r="J307">
            <v>2.4401073656338268E-4</v>
          </cell>
        </row>
        <row r="308">
          <cell r="B308" t="str">
            <v>SCOM-CHPNGA</v>
          </cell>
          <cell r="C308" t="str">
            <v>VAR_fout</v>
          </cell>
          <cell r="D308" t="str">
            <v>SCOM_LTH_CHPNGA</v>
          </cell>
          <cell r="E308">
            <v>0.69261183781650215</v>
          </cell>
          <cell r="F308">
            <v>0.75023038682846743</v>
          </cell>
          <cell r="G308">
            <v>1.124661928183739E-2</v>
          </cell>
          <cell r="H308">
            <v>8.041776904332703E-3</v>
          </cell>
          <cell r="I308">
            <v>4.1539808758773175E-4</v>
          </cell>
          <cell r="J308">
            <v>3.6608886653123829E-4</v>
          </cell>
        </row>
        <row r="309">
          <cell r="B309" t="str">
            <v>SCOM-CHPNGA</v>
          </cell>
          <cell r="C309" t="str">
            <v>VAR_fin</v>
          </cell>
          <cell r="D309" t="str">
            <v>SNGA</v>
          </cell>
          <cell r="E309">
            <v>1.6877201501674997</v>
          </cell>
          <cell r="F309">
            <v>1.7385764088013851</v>
          </cell>
          <cell r="G309">
            <v>3.2174068420233362E-2</v>
          </cell>
          <cell r="H309">
            <v>2.0303081183027684E-2</v>
          </cell>
          <cell r="I309">
            <v>8.6716236341736542E-4</v>
          </cell>
          <cell r="J309">
            <v>7.5371329064732309E-4</v>
          </cell>
        </row>
        <row r="310">
          <cell r="B310" t="str">
            <v>SCOM-CHPNGA</v>
          </cell>
          <cell r="C310" t="str">
            <v>VAR_ncap</v>
          </cell>
          <cell r="D310" t="str">
            <v>-</v>
          </cell>
          <cell r="E310"/>
          <cell r="F310">
            <v>2.7175537579225299E-2</v>
          </cell>
          <cell r="G310">
            <v>1.8135261606865499E-7</v>
          </cell>
          <cell r="H310">
            <v>7.8831202158531196E-7</v>
          </cell>
          <cell r="I310">
            <v>7.1970012824178196E-7</v>
          </cell>
          <cell r="J310">
            <v>3.8280721721473403E-5</v>
          </cell>
        </row>
        <row r="311">
          <cell r="B311" t="str">
            <v>SCOM-CHPNGA</v>
          </cell>
          <cell r="C311" t="str">
            <v>VAR_cap</v>
          </cell>
          <cell r="D311" t="str">
            <v>-</v>
          </cell>
          <cell r="E311">
            <v>6.5199409625423407E-2</v>
          </cell>
          <cell r="F311">
            <v>4.788100193728078E-2</v>
          </cell>
          <cell r="G311">
            <v>1.4585398937645017E-3</v>
          </cell>
          <cell r="H311">
            <v>9.8199918317379981E-4</v>
          </cell>
          <cell r="I311">
            <v>4.3647641582600372E-5</v>
          </cell>
          <cell r="J311">
            <v>3.9022978585436175E-5</v>
          </cell>
        </row>
        <row r="312">
          <cell r="B312" t="str">
            <v>D-IPLT</v>
          </cell>
          <cell r="C312" t="str">
            <v>VAR_fout</v>
          </cell>
          <cell r="D312" t="str">
            <v>IPLT</v>
          </cell>
          <cell r="E312">
            <v>0.62581918435258088</v>
          </cell>
          <cell r="F312">
            <v>0.73758528935951095</v>
          </cell>
          <cell r="G312">
            <v>0.73637758436969825</v>
          </cell>
          <cell r="H312">
            <v>0.73430973761867646</v>
          </cell>
          <cell r="I312">
            <v>4.0915414152718812</v>
          </cell>
          <cell r="J312">
            <v>5.5365287423025489</v>
          </cell>
        </row>
        <row r="313">
          <cell r="B313" t="str">
            <v>D-IPLT</v>
          </cell>
          <cell r="C313" t="str">
            <v>VAR_fin</v>
          </cell>
          <cell r="D313" t="str">
            <v>PLT</v>
          </cell>
          <cell r="E313">
            <v>0.62581918435258088</v>
          </cell>
          <cell r="F313">
            <v>0.73758528935951095</v>
          </cell>
          <cell r="G313">
            <v>0.73637758436969825</v>
          </cell>
          <cell r="H313">
            <v>0.73430973761867646</v>
          </cell>
          <cell r="I313">
            <v>4.0915414152718812</v>
          </cell>
          <cell r="J313">
            <v>5.5365287423025489</v>
          </cell>
        </row>
        <row r="314">
          <cell r="B314" t="str">
            <v>LTH-STG</v>
          </cell>
          <cell r="C314" t="str">
            <v>VAR_fout</v>
          </cell>
          <cell r="D314" t="str">
            <v>AUX_LTH-STG_OUT</v>
          </cell>
          <cell r="E314">
            <v>9.9511381662357659E-5</v>
          </cell>
          <cell r="F314">
            <v>7.5088593972338165E-4</v>
          </cell>
          <cell r="G314">
            <v>1.0916078424054527E-2</v>
          </cell>
          <cell r="H314">
            <v>2.2684652594796265E-4</v>
          </cell>
          <cell r="I314">
            <v>2.2185767324183544E-4</v>
          </cell>
          <cell r="J314">
            <v>0.13581578998997607</v>
          </cell>
        </row>
        <row r="315">
          <cell r="B315" t="str">
            <v>LTH-STG</v>
          </cell>
          <cell r="C315" t="str">
            <v>VAR_fout</v>
          </cell>
          <cell r="D315" t="str">
            <v>LTH</v>
          </cell>
          <cell r="E315">
            <v>9.9511381662357442E-5</v>
          </cell>
          <cell r="F315">
            <v>7.5138653034986205E-4</v>
          </cell>
          <cell r="G315">
            <v>1.0927449339079569E-2</v>
          </cell>
          <cell r="H315">
            <v>2.2684652594796265E-4</v>
          </cell>
          <cell r="I315">
            <v>2.2185767324183462E-4</v>
          </cell>
          <cell r="J315">
            <v>0.13581578998997576</v>
          </cell>
        </row>
        <row r="316">
          <cell r="B316" t="str">
            <v>LTH-STG</v>
          </cell>
          <cell r="C316" t="str">
            <v>VAR_fin</v>
          </cell>
          <cell r="D316" t="str">
            <v>AUX_LTH-STG_IN</v>
          </cell>
          <cell r="E316">
            <v>1.2494711522798653E-4</v>
          </cell>
          <cell r="F316">
            <v>9.8634507576552842E-4</v>
          </cell>
          <cell r="G316">
            <v>1.4105804546522653E-2</v>
          </cell>
          <cell r="H316">
            <v>2.8661753379207946E-4</v>
          </cell>
          <cell r="I316">
            <v>2.6685931627080462E-4</v>
          </cell>
          <cell r="J316">
            <v>0.15090934966480241</v>
          </cell>
        </row>
        <row r="317">
          <cell r="B317" t="str">
            <v>LTH-STG</v>
          </cell>
          <cell r="C317" t="str">
            <v>VAR_fin</v>
          </cell>
          <cell r="D317" t="str">
            <v>LTH</v>
          </cell>
          <cell r="E317">
            <v>1.2494711522798653E-4</v>
          </cell>
          <cell r="F317">
            <v>9.8634507576552842E-4</v>
          </cell>
          <cell r="G317">
            <v>1.4105804546522653E-2</v>
          </cell>
          <cell r="H317">
            <v>2.8661753379207946E-4</v>
          </cell>
          <cell r="I317">
            <v>2.6685931627080462E-4</v>
          </cell>
          <cell r="J317">
            <v>0.15090934966480241</v>
          </cell>
        </row>
        <row r="318">
          <cell r="B318" t="str">
            <v>LTH-STG</v>
          </cell>
          <cell r="C318" t="str">
            <v>VAR_ncap</v>
          </cell>
          <cell r="D318" t="str">
            <v>-</v>
          </cell>
          <cell r="E318">
            <v>5.2610953872460797E-4</v>
          </cell>
          <cell r="F318">
            <v>1.0076675941924999E-5</v>
          </cell>
          <cell r="G318">
            <v>7.1182197939233599E-6</v>
          </cell>
          <cell r="H318">
            <v>4.6637615927296796E-6</v>
          </cell>
          <cell r="I318">
            <v>1.6498411830459601E-4</v>
          </cell>
          <cell r="J318">
            <v>4.6676104621480197E-2</v>
          </cell>
        </row>
        <row r="319">
          <cell r="B319" t="str">
            <v>LTH-STG</v>
          </cell>
          <cell r="C319" t="str">
            <v>VAR_cap</v>
          </cell>
          <cell r="D319" t="str">
            <v>-</v>
          </cell>
          <cell r="E319">
            <v>6.9025124680997015E-4</v>
          </cell>
          <cell r="F319">
            <v>6.9707880283802323E-4</v>
          </cell>
          <cell r="G319">
            <v>6.9960053761311221E-4</v>
          </cell>
          <cell r="H319">
            <v>5.6357315712072013E-4</v>
          </cell>
          <cell r="I319">
            <v>4.2635836732531128E-4</v>
          </cell>
          <cell r="J319">
            <v>4.6911846965675456E-2</v>
          </cell>
        </row>
        <row r="320">
          <cell r="B320" t="str">
            <v>ITOT-CHPOIL</v>
          </cell>
          <cell r="C320" t="str">
            <v>VAR_fout</v>
          </cell>
          <cell r="D320" t="str">
            <v>ITOT_LTH_CHP</v>
          </cell>
          <cell r="E320">
            <v>0.92958358177345157</v>
          </cell>
          <cell r="F320">
            <v>2.0704381554654616</v>
          </cell>
          <cell r="G320">
            <v>4.8121781026068566E-2</v>
          </cell>
          <cell r="H320">
            <v>1.0811480223794336</v>
          </cell>
          <cell r="I320">
            <v>1.2717703787906514E-3</v>
          </cell>
          <cell r="J320">
            <v>2.7622953017343354E-4</v>
          </cell>
        </row>
        <row r="321">
          <cell r="B321" t="str">
            <v>ITOT-CHPOIL</v>
          </cell>
          <cell r="C321" t="str">
            <v>VAR_fout</v>
          </cell>
          <cell r="D321" t="str">
            <v>ITOT_NKEV_OIL_ELC_CHP</v>
          </cell>
          <cell r="E321">
            <v>7.0520133789709963E-2</v>
          </cell>
          <cell r="F321">
            <v>0.17131860386164463</v>
          </cell>
          <cell r="G321">
            <v>4.6091259942489509E-3</v>
          </cell>
          <cell r="H321">
            <v>0.14042216374001643</v>
          </cell>
          <cell r="I321">
            <v>5.737172037489196E-4</v>
          </cell>
          <cell r="J321">
            <v>1.2461182953064172E-4</v>
          </cell>
        </row>
        <row r="322">
          <cell r="B322" t="str">
            <v>ITOT-CHPOIL</v>
          </cell>
          <cell r="C322" t="str">
            <v>VAR_fout</v>
          </cell>
          <cell r="D322" t="str">
            <v>CO2_I</v>
          </cell>
          <cell r="E322">
            <v>22.584731635377501</v>
          </cell>
          <cell r="F322">
            <v>51.2067699321764</v>
          </cell>
          <cell r="G322">
            <v>1.5358111405852899</v>
          </cell>
          <cell r="H322">
            <v>39.292560479779503</v>
          </cell>
          <cell r="I322">
            <v>0.16704038048698799</v>
          </cell>
          <cell r="J322">
            <v>4.5821359895666901E-2</v>
          </cell>
        </row>
        <row r="323">
          <cell r="B323" t="str">
            <v>ITOT-CHPOIL</v>
          </cell>
          <cell r="C323" t="str">
            <v>VAR_fin</v>
          </cell>
          <cell r="D323" t="str">
            <v>ILFO</v>
          </cell>
          <cell r="E323">
            <v>0.306441406178799</v>
          </cell>
          <cell r="F323">
            <v>0.69480013476494551</v>
          </cell>
          <cell r="G323">
            <v>2.0838685760994406E-2</v>
          </cell>
          <cell r="H323">
            <v>0.53314193323988379</v>
          </cell>
          <cell r="I323">
            <v>2.2664909156986171E-3</v>
          </cell>
          <cell r="J323">
            <v>6.2172808542288783E-4</v>
          </cell>
        </row>
        <row r="324">
          <cell r="B324" t="str">
            <v>ITOT-CHPOIL</v>
          </cell>
          <cell r="C324" t="str">
            <v>VAR_ncap</v>
          </cell>
          <cell r="D324" t="str">
            <v>-</v>
          </cell>
          <cell r="E324"/>
          <cell r="F324">
            <v>9.7786479906038105E-3</v>
          </cell>
          <cell r="G324">
            <v>8.5415348039265696E-5</v>
          </cell>
          <cell r="H324">
            <v>1.39748886662047E-2</v>
          </cell>
          <cell r="I324">
            <v>3.1415764594089699E-6</v>
          </cell>
          <cell r="J324">
            <v>2.3209293733401098E-6</v>
          </cell>
        </row>
        <row r="325">
          <cell r="B325" t="str">
            <v>ITOT-CHPOIL</v>
          </cell>
          <cell r="C325" t="str">
            <v>VAR_cap</v>
          </cell>
          <cell r="D325" t="str">
            <v>-</v>
          </cell>
          <cell r="E325">
            <v>8.3036070678958376E-3</v>
          </cell>
          <cell r="F325">
            <v>1.071065164118515E-2</v>
          </cell>
          <cell r="G325">
            <v>1.0791868605737734E-2</v>
          </cell>
          <cell r="H325">
            <v>2.4764699816152123E-2</v>
          </cell>
          <cell r="I325">
            <v>1.4363160574146008E-3</v>
          </cell>
          <cell r="J325">
            <v>3.1695398169922021E-4</v>
          </cell>
        </row>
        <row r="326">
          <cell r="B326" t="str">
            <v>ENUC_GOE</v>
          </cell>
          <cell r="C326" t="str">
            <v>VAR_fout</v>
          </cell>
          <cell r="D326" t="str">
            <v>ELC</v>
          </cell>
          <cell r="E326">
            <v>29.714403825068132</v>
          </cell>
          <cell r="F326">
            <v>29.714374766687758</v>
          </cell>
          <cell r="G326">
            <v>26.298169431004556</v>
          </cell>
          <cell r="H326">
            <v>29.699189073719452</v>
          </cell>
          <cell r="I326"/>
          <cell r="J326"/>
        </row>
        <row r="327">
          <cell r="B327" t="str">
            <v>ENUC_GOE</v>
          </cell>
          <cell r="C327" t="str">
            <v>VAR_fin</v>
          </cell>
          <cell r="D327" t="str">
            <v>URN</v>
          </cell>
          <cell r="E327">
            <v>89.580586885226055</v>
          </cell>
          <cell r="F327">
            <v>89.580499282365622</v>
          </cell>
          <cell r="G327">
            <v>79.281599102757596</v>
          </cell>
          <cell r="H327">
            <v>89.534718680595347</v>
          </cell>
          <cell r="I327"/>
          <cell r="J327"/>
        </row>
        <row r="328">
          <cell r="B328" t="str">
            <v>ENUC_GOE</v>
          </cell>
          <cell r="C328" t="str">
            <v>VAR_cap</v>
          </cell>
          <cell r="D328" t="str">
            <v>-</v>
          </cell>
          <cell r="E328">
            <v>1.0099999287921673</v>
          </cell>
          <cell r="F328">
            <v>1.0099996349118658</v>
          </cell>
          <cell r="G328">
            <v>1.0094858562517623</v>
          </cell>
          <cell r="H328">
            <v>1.009483714509066</v>
          </cell>
          <cell r="I328"/>
          <cell r="J328"/>
        </row>
        <row r="329">
          <cell r="B329" t="str">
            <v>D-RNGA</v>
          </cell>
          <cell r="C329" t="str">
            <v>VAR_fout</v>
          </cell>
          <cell r="D329" t="str">
            <v>CO2</v>
          </cell>
          <cell r="E329">
            <v>2654.7000088721002</v>
          </cell>
          <cell r="F329">
            <v>2593.5849153971299</v>
          </cell>
          <cell r="G329">
            <v>2598.6827264743301</v>
          </cell>
          <cell r="H329">
            <v>2103.0964389215401</v>
          </cell>
          <cell r="I329">
            <v>678.67845791849095</v>
          </cell>
          <cell r="J329">
            <v>8.77278227189605</v>
          </cell>
        </row>
        <row r="330">
          <cell r="B330" t="str">
            <v>D-RNGA</v>
          </cell>
          <cell r="C330" t="str">
            <v>VAR_fout</v>
          </cell>
          <cell r="D330" t="str">
            <v>RNGA</v>
          </cell>
          <cell r="E330">
            <v>47.229474056255469</v>
          </cell>
          <cell r="F330">
            <v>48.283065454645303</v>
          </cell>
          <cell r="G330">
            <v>46.162624408475175</v>
          </cell>
          <cell r="H330">
            <v>37.170887369556674</v>
          </cell>
          <cell r="I330">
            <v>16.917423503214632</v>
          </cell>
          <cell r="J330">
            <v>6.2822727961915836</v>
          </cell>
        </row>
        <row r="331">
          <cell r="B331" t="str">
            <v>D-RNGA</v>
          </cell>
          <cell r="C331" t="str">
            <v>VAR_fout</v>
          </cell>
          <cell r="D331" t="str">
            <v>RSH2</v>
          </cell>
          <cell r="E331"/>
          <cell r="F331"/>
          <cell r="G331"/>
          <cell r="H331">
            <v>3.3503048482452892E-3</v>
          </cell>
          <cell r="I331">
            <v>7.0038412865490386E-4</v>
          </cell>
          <cell r="J331">
            <v>3.2448838438144403E-2</v>
          </cell>
        </row>
        <row r="332">
          <cell r="B332" t="str">
            <v>D-RNGA</v>
          </cell>
          <cell r="C332" t="str">
            <v>VAR_fin</v>
          </cell>
          <cell r="D332" t="str">
            <v>NGA</v>
          </cell>
          <cell r="E332">
            <v>47.069149093476966</v>
          </cell>
          <cell r="F332">
            <v>45.985548145339216</v>
          </cell>
          <cell r="G332">
            <v>46.075934866566101</v>
          </cell>
          <cell r="H332">
            <v>37.288943952509605</v>
          </cell>
          <cell r="I332">
            <v>12.03330599146261</v>
          </cell>
          <cell r="J332">
            <v>0.15554578496269608</v>
          </cell>
        </row>
        <row r="333">
          <cell r="B333" t="str">
            <v>D-RNGA</v>
          </cell>
          <cell r="C333" t="str">
            <v>VAR_fin</v>
          </cell>
          <cell r="D333" t="str">
            <v>BNGA</v>
          </cell>
          <cell r="E333">
            <v>0.3112051657325331</v>
          </cell>
          <cell r="F333">
            <v>2.4517633359792201</v>
          </cell>
          <cell r="G333">
            <v>0.23416156608074171</v>
          </cell>
          <cell r="H333">
            <v>8.3866513001001767E-4</v>
          </cell>
          <cell r="I333">
            <v>4.9383221017812327</v>
          </cell>
          <cell r="J333">
            <v>6.1473079214459743</v>
          </cell>
        </row>
        <row r="334">
          <cell r="B334" t="str">
            <v>D-RNGA</v>
          </cell>
          <cell r="C334" t="str">
            <v>VAR_fin</v>
          </cell>
          <cell r="D334" t="str">
            <v>H2</v>
          </cell>
          <cell r="E334"/>
          <cell r="F334"/>
          <cell r="G334"/>
          <cell r="H334">
            <v>3.3469712565650394E-3</v>
          </cell>
          <cell r="I334">
            <v>6.8391293796641933E-4</v>
          </cell>
          <cell r="J334">
            <v>3.2438470377157205E-2</v>
          </cell>
        </row>
        <row r="335">
          <cell r="B335" t="str">
            <v>D-RNGA</v>
          </cell>
          <cell r="C335" t="str">
            <v>VAR_ncap</v>
          </cell>
          <cell r="D335" t="str">
            <v>-</v>
          </cell>
          <cell r="E335">
            <v>9.5534050993362393E-7</v>
          </cell>
          <cell r="F335">
            <v>2.09408741999785E-7</v>
          </cell>
          <cell r="G335">
            <v>2.89344548174244E-7</v>
          </cell>
          <cell r="H335">
            <v>2.1351429147166001E-7</v>
          </cell>
          <cell r="I335">
            <v>4.2980243488517599E-7</v>
          </cell>
          <cell r="J335">
            <v>7.2810904051517299E-7</v>
          </cell>
        </row>
        <row r="336">
          <cell r="B336" t="str">
            <v>D-RNGA</v>
          </cell>
          <cell r="C336" t="str">
            <v>VAR_cap</v>
          </cell>
          <cell r="D336" t="str">
            <v>-</v>
          </cell>
          <cell r="E336">
            <v>3.0972409627364299</v>
          </cell>
          <cell r="F336">
            <v>3.0972411721451718</v>
          </cell>
          <cell r="G336">
            <v>3.0972414614897201</v>
          </cell>
          <cell r="H336">
            <v>3.0972416750040117</v>
          </cell>
          <cell r="I336">
            <v>3.0972424379755044</v>
          </cell>
          <cell r="J336">
            <v>1.5532854067248447</v>
          </cell>
        </row>
        <row r="337">
          <cell r="B337" t="str">
            <v>RHES-CHPGFC</v>
          </cell>
          <cell r="C337" t="str">
            <v>VAR_fout</v>
          </cell>
          <cell r="D337" t="str">
            <v>CO2_R</v>
          </cell>
          <cell r="E337"/>
          <cell r="F337"/>
          <cell r="G337"/>
          <cell r="H337">
            <v>5.26936400617595E-2</v>
          </cell>
          <cell r="I337">
            <v>0.11917738367110001</v>
          </cell>
          <cell r="J337">
            <v>1.6016292044264201E-2</v>
          </cell>
        </row>
        <row r="338">
          <cell r="B338" t="str">
            <v>RHES-CHPGFC</v>
          </cell>
          <cell r="C338" t="str">
            <v>VAR_fout</v>
          </cell>
          <cell r="D338" t="str">
            <v>RHES_NKEV_GAS_ELC_CHP</v>
          </cell>
          <cell r="E338"/>
          <cell r="F338"/>
          <cell r="G338"/>
          <cell r="H338">
            <v>3.9239944726842231E-4</v>
          </cell>
          <cell r="I338">
            <v>9.2975263856886711E-4</v>
          </cell>
          <cell r="J338">
            <v>1.2778956418295882E-4</v>
          </cell>
        </row>
        <row r="339">
          <cell r="B339" t="str">
            <v>RHES-CHPGFC</v>
          </cell>
          <cell r="C339" t="str">
            <v>VAR_fout</v>
          </cell>
          <cell r="D339" t="str">
            <v>RHES_LTH_CHPNGA</v>
          </cell>
          <cell r="E339"/>
          <cell r="F339"/>
          <cell r="G339"/>
          <cell r="H339">
            <v>4.39487380940633E-4</v>
          </cell>
          <cell r="I339">
            <v>9.8553779688299826E-4</v>
          </cell>
          <cell r="J339">
            <v>1.2778956418295882E-4</v>
          </cell>
        </row>
        <row r="340">
          <cell r="B340" t="str">
            <v>RHES-CHPGFC</v>
          </cell>
          <cell r="C340" t="str">
            <v>VAR_fin</v>
          </cell>
          <cell r="D340" t="str">
            <v>RNGA</v>
          </cell>
          <cell r="E340"/>
          <cell r="F340"/>
          <cell r="G340"/>
          <cell r="H340">
            <v>9.3428439825814821E-4</v>
          </cell>
          <cell r="I340">
            <v>2.1130741785656067E-3</v>
          </cell>
          <cell r="J340">
            <v>2.8397680929546383E-4</v>
          </cell>
        </row>
        <row r="341">
          <cell r="B341" t="str">
            <v>RHES-CHPGFC</v>
          </cell>
          <cell r="C341" t="str">
            <v>VAR_ncap</v>
          </cell>
          <cell r="D341" t="str">
            <v>-</v>
          </cell>
          <cell r="E341"/>
          <cell r="F341"/>
          <cell r="G341"/>
          <cell r="H341">
            <v>3.4456062216286102E-5</v>
          </cell>
          <cell r="I341">
            <v>5.7637915902778998E-7</v>
          </cell>
          <cell r="J341">
            <v>7.7976770086276205E-8</v>
          </cell>
        </row>
        <row r="342">
          <cell r="B342" t="str">
            <v>RHES-CHPGFC</v>
          </cell>
          <cell r="C342" t="str">
            <v>VAR_cap</v>
          </cell>
          <cell r="D342" t="str">
            <v>-</v>
          </cell>
          <cell r="E342"/>
          <cell r="F342"/>
          <cell r="G342"/>
          <cell r="H342">
            <v>3.4456062216286102E-5</v>
          </cell>
          <cell r="I342">
            <v>8.0298821495948343E-5</v>
          </cell>
          <cell r="J342">
            <v>3.598325869058648E-5</v>
          </cell>
        </row>
        <row r="343">
          <cell r="B343" t="str">
            <v>ITOT-CHPHFC</v>
          </cell>
          <cell r="C343" t="str">
            <v>VAR_fout</v>
          </cell>
          <cell r="D343" t="str">
            <v>ITOT_LTH_CHP</v>
          </cell>
          <cell r="E343"/>
          <cell r="F343"/>
          <cell r="G343"/>
          <cell r="H343"/>
          <cell r="I343">
            <v>2.8579285188936013E-3</v>
          </cell>
          <cell r="J343">
            <v>1.9127627285839968</v>
          </cell>
        </row>
        <row r="344">
          <cell r="B344" t="str">
            <v>ITOT-CHPHFC</v>
          </cell>
          <cell r="C344" t="str">
            <v>VAR_fout</v>
          </cell>
          <cell r="D344" t="str">
            <v>ITOT_KEV_HFC_ELC_CHP</v>
          </cell>
          <cell r="E344"/>
          <cell r="F344"/>
          <cell r="G344"/>
          <cell r="H344"/>
          <cell r="I344">
            <v>4.7632141981560029E-3</v>
          </cell>
          <cell r="J344">
            <v>3.8255254571679922</v>
          </cell>
        </row>
        <row r="345">
          <cell r="B345" t="str">
            <v>ITOT-CHPHFC</v>
          </cell>
          <cell r="C345" t="str">
            <v>VAR_fin</v>
          </cell>
          <cell r="D345" t="str">
            <v>IH2</v>
          </cell>
          <cell r="E345"/>
          <cell r="F345"/>
          <cell r="G345"/>
          <cell r="H345"/>
          <cell r="I345">
            <v>8.6603894511927317E-3</v>
          </cell>
          <cell r="J345">
            <v>6.3758757619466557</v>
          </cell>
        </row>
        <row r="346">
          <cell r="B346" t="str">
            <v>ITOT-CHPHFC</v>
          </cell>
          <cell r="C346" t="str">
            <v>VAR_ncap</v>
          </cell>
          <cell r="D346" t="str">
            <v>-</v>
          </cell>
          <cell r="E346"/>
          <cell r="F346"/>
          <cell r="G346"/>
          <cell r="H346"/>
          <cell r="I346">
            <v>1.13182907966579E-6</v>
          </cell>
          <cell r="J346">
            <v>0.15495355151048201</v>
          </cell>
        </row>
        <row r="347">
          <cell r="B347" t="str">
            <v>ITOT-CHPHFC</v>
          </cell>
          <cell r="C347" t="str">
            <v>VAR_cap</v>
          </cell>
          <cell r="D347" t="str">
            <v>-</v>
          </cell>
          <cell r="E347"/>
          <cell r="F347"/>
          <cell r="G347"/>
          <cell r="H347"/>
          <cell r="I347">
            <v>1.0112125980486089E-3</v>
          </cell>
          <cell r="J347">
            <v>0.15538128361479694</v>
          </cell>
        </row>
        <row r="348">
          <cell r="B348" t="str">
            <v>G-INTC-TRA</v>
          </cell>
          <cell r="C348" t="str">
            <v>VAR_fout</v>
          </cell>
          <cell r="D348" t="str">
            <v>TRAN_ELC</v>
          </cell>
          <cell r="E348">
            <v>5.468849722047195</v>
          </cell>
          <cell r="F348">
            <v>11.793822260938255</v>
          </cell>
          <cell r="G348">
            <v>15.209842985120202</v>
          </cell>
          <cell r="H348">
            <v>20.441875287908257</v>
          </cell>
          <cell r="I348">
            <v>46.737674989954016</v>
          </cell>
          <cell r="J348">
            <v>38.822806512874287</v>
          </cell>
        </row>
        <row r="349">
          <cell r="B349" t="str">
            <v>G-INTC-TRA</v>
          </cell>
          <cell r="C349" t="str">
            <v>VAR_fin</v>
          </cell>
          <cell r="D349" t="str">
            <v>ELC3</v>
          </cell>
          <cell r="E349">
            <v>5.0481689741974103</v>
          </cell>
          <cell r="F349">
            <v>11.785616876989693</v>
          </cell>
          <cell r="G349">
            <v>15.196238419813621</v>
          </cell>
          <cell r="H349">
            <v>14.370031142985018</v>
          </cell>
          <cell r="I349">
            <v>24.39981561975544</v>
          </cell>
          <cell r="J349">
            <v>17.814262482173312</v>
          </cell>
        </row>
        <row r="350">
          <cell r="B350" t="str">
            <v>G-INTC-TRA</v>
          </cell>
          <cell r="C350" t="str">
            <v>VAR_fin</v>
          </cell>
          <cell r="D350" t="str">
            <v>ELC5</v>
          </cell>
          <cell r="E350">
            <v>0.4206807478497841</v>
          </cell>
          <cell r="F350">
            <v>8.2053839485685346E-3</v>
          </cell>
          <cell r="G350">
            <v>1.3604565306578109E-2</v>
          </cell>
          <cell r="H350">
            <v>6.0718441449232401</v>
          </cell>
          <cell r="I350">
            <v>22.337859370198576</v>
          </cell>
          <cell r="J350">
            <v>21.008544030700914</v>
          </cell>
        </row>
        <row r="351">
          <cell r="B351" t="str">
            <v>G-INTC-TRA</v>
          </cell>
          <cell r="C351" t="str">
            <v>VAR_ncap</v>
          </cell>
          <cell r="D351" t="str">
            <v>-</v>
          </cell>
          <cell r="E351">
            <v>1.1475499180485501E-6</v>
          </cell>
          <cell r="F351">
            <v>9.0062513793000504E-7</v>
          </cell>
          <cell r="G351">
            <v>9.9198003741956008E-7</v>
          </cell>
          <cell r="H351">
            <v>2.0878649076411999E-6</v>
          </cell>
          <cell r="I351">
            <v>4.8409043940407399E-6</v>
          </cell>
          <cell r="J351">
            <v>2.8277525598667301E-6</v>
          </cell>
        </row>
        <row r="352">
          <cell r="B352" t="str">
            <v>G-INTC-TRA</v>
          </cell>
          <cell r="C352" t="str">
            <v>VAR_cap</v>
          </cell>
          <cell r="D352" t="str">
            <v>-</v>
          </cell>
          <cell r="E352">
            <v>0.86351880627381705</v>
          </cell>
          <cell r="F352">
            <v>0.86351917938494416</v>
          </cell>
          <cell r="G352">
            <v>0.86352085444887305</v>
          </cell>
          <cell r="H352">
            <v>0.86352299514992858</v>
          </cell>
          <cell r="I352">
            <v>1.6011852601775141</v>
          </cell>
          <cell r="J352">
            <v>1.6011898626747481</v>
          </cell>
        </row>
        <row r="353">
          <cell r="B353" t="str">
            <v>SCOM-SWHSTG-CHPBIO</v>
          </cell>
          <cell r="C353" t="str">
            <v>VAR_fout</v>
          </cell>
          <cell r="D353" t="str">
            <v>AUX_SCOM-CHPBIO_OUT</v>
          </cell>
          <cell r="E353">
            <v>5.4917668166684426E-5</v>
          </cell>
          <cell r="F353">
            <v>8.5586901157178302E-5</v>
          </cell>
          <cell r="G353">
            <v>8.1476751645299288</v>
          </cell>
          <cell r="H353">
            <v>9.2842549738461955</v>
          </cell>
          <cell r="I353">
            <v>35.003679663926292</v>
          </cell>
          <cell r="J353">
            <v>345.81817208302624</v>
          </cell>
        </row>
        <row r="354">
          <cell r="B354" t="str">
            <v>SCOM-SWHSTG-CHPBIO</v>
          </cell>
          <cell r="C354" t="str">
            <v>VAR_fout</v>
          </cell>
          <cell r="D354" t="str">
            <v>SCOM_LTH_CHPBIO</v>
          </cell>
          <cell r="E354">
            <v>5.4917668166684521E-5</v>
          </cell>
          <cell r="F354">
            <v>8.565685724496976E-5</v>
          </cell>
          <cell r="G354">
            <v>8.1580808799380158</v>
          </cell>
          <cell r="H354">
            <v>9.2842549738461777</v>
          </cell>
          <cell r="I354">
            <v>35.003679663926292</v>
          </cell>
          <cell r="J354">
            <v>345.81817208302624</v>
          </cell>
        </row>
        <row r="355">
          <cell r="B355" t="str">
            <v>SCOM-SWHSTG-CHPBIO</v>
          </cell>
          <cell r="C355" t="str">
            <v>VAR_fin</v>
          </cell>
          <cell r="D355" t="str">
            <v>SCOM_LTH_CHPBIO</v>
          </cell>
          <cell r="E355">
            <v>9.1003771774420111E-5</v>
          </cell>
          <cell r="F355">
            <v>1.158075125645947E-4</v>
          </cell>
          <cell r="G355">
            <v>9.7119615932192289</v>
          </cell>
          <cell r="H355">
            <v>10.671530761865194</v>
          </cell>
          <cell r="I355">
            <v>37.638337664899957</v>
          </cell>
          <cell r="J355">
            <v>349.31128921498151</v>
          </cell>
        </row>
        <row r="356">
          <cell r="B356" t="str">
            <v>SCOM-SWHSTG-CHPBIO</v>
          </cell>
          <cell r="C356" t="str">
            <v>VAR_fin</v>
          </cell>
          <cell r="D356" t="str">
            <v>AUX_SCOM-CHPBIO_IN</v>
          </cell>
          <cell r="E356">
            <v>9.1003771774420111E-5</v>
          </cell>
          <cell r="F356">
            <v>1.158075125645947E-4</v>
          </cell>
          <cell r="G356">
            <v>9.7119615932192289</v>
          </cell>
          <cell r="H356">
            <v>10.671530761865194</v>
          </cell>
          <cell r="I356">
            <v>37.638337664899957</v>
          </cell>
          <cell r="J356">
            <v>349.31128921498151</v>
          </cell>
        </row>
        <row r="357">
          <cell r="B357" t="str">
            <v>SCOM-SWHSTG-CHPBIO</v>
          </cell>
          <cell r="C357" t="str">
            <v>VAR_ncap</v>
          </cell>
          <cell r="D357" t="str">
            <v>-</v>
          </cell>
          <cell r="E357">
            <v>7.5668330120921201E-3</v>
          </cell>
          <cell r="F357">
            <v>1.00961711288084E-4</v>
          </cell>
          <cell r="G357">
            <v>0.50495793700463598</v>
          </cell>
          <cell r="H357">
            <v>6.9532757264289993E-2</v>
          </cell>
          <cell r="I357">
            <v>1.7581201680949701</v>
          </cell>
          <cell r="J357">
            <v>20.090374079011699</v>
          </cell>
        </row>
        <row r="358">
          <cell r="B358" t="str">
            <v>SCOM-SWHSTG-CHPBIO</v>
          </cell>
          <cell r="C358" t="str">
            <v>VAR_cap</v>
          </cell>
          <cell r="D358" t="str">
            <v>-</v>
          </cell>
          <cell r="E358">
            <v>7.5668330120921201E-3</v>
          </cell>
          <cell r="F358">
            <v>7.6581500171944835E-3</v>
          </cell>
          <cell r="G358">
            <v>0.51257980886634658</v>
          </cell>
          <cell r="H358">
            <v>0.58206144968552842</v>
          </cell>
          <cell r="I358">
            <v>2.1841070596522334</v>
          </cell>
          <cell r="J358">
            <v>21.48857427466368</v>
          </cell>
        </row>
        <row r="359">
          <cell r="B359" t="str">
            <v>SCOM-SWHSTG-CHPHFC</v>
          </cell>
          <cell r="C359" t="str">
            <v>VAR_fout</v>
          </cell>
          <cell r="D359" t="str">
            <v>AUX_SCOM-CHPHFC_OUT</v>
          </cell>
          <cell r="E359">
            <v>3.0072618893350905E-4</v>
          </cell>
          <cell r="F359">
            <v>4.5739822442697513E-4</v>
          </cell>
          <cell r="G359">
            <v>4.6719961494990855E-4</v>
          </cell>
          <cell r="H359">
            <v>1.8035460300557561E-2</v>
          </cell>
          <cell r="I359">
            <v>7.1415035358306312E-3</v>
          </cell>
          <cell r="J359">
            <v>1.8903237653466627</v>
          </cell>
        </row>
        <row r="360">
          <cell r="B360" t="str">
            <v>SCOM-SWHSTG-CHPHFC</v>
          </cell>
          <cell r="C360" t="str">
            <v>VAR_fout</v>
          </cell>
          <cell r="D360" t="str">
            <v>SCOM_LTH_CHPHFC</v>
          </cell>
          <cell r="E360">
            <v>3.0072618893350981E-4</v>
          </cell>
          <cell r="F360">
            <v>4.5777208759892156E-4</v>
          </cell>
          <cell r="G360">
            <v>4.677962938962052E-4</v>
          </cell>
          <cell r="H360">
            <v>1.8035460300557526E-2</v>
          </cell>
          <cell r="I360">
            <v>7.1415035358306216E-3</v>
          </cell>
          <cell r="J360">
            <v>1.8903237653466627</v>
          </cell>
        </row>
        <row r="361">
          <cell r="B361" t="str">
            <v>SCOM-SWHSTG-CHPHFC</v>
          </cell>
          <cell r="C361" t="str">
            <v>VAR_fin</v>
          </cell>
          <cell r="D361" t="str">
            <v>SCOM_LTH_CHPHFC</v>
          </cell>
          <cell r="E361">
            <v>3.0072618893350981E-4</v>
          </cell>
          <cell r="F361">
            <v>4.5777208759892156E-4</v>
          </cell>
          <cell r="G361">
            <v>4.677962938962052E-4</v>
          </cell>
          <cell r="H361">
            <v>2.0698741472994248E-2</v>
          </cell>
          <cell r="I361">
            <v>7.669590830693609E-3</v>
          </cell>
          <cell r="J361">
            <v>1.9094212783057198</v>
          </cell>
        </row>
        <row r="362">
          <cell r="B362" t="str">
            <v>SCOM-SWHSTG-CHPHFC</v>
          </cell>
          <cell r="C362" t="str">
            <v>VAR_fin</v>
          </cell>
          <cell r="D362" t="str">
            <v>AUX_SCOM-CHPHFC_IN</v>
          </cell>
          <cell r="E362">
            <v>3.0072618893350981E-4</v>
          </cell>
          <cell r="F362">
            <v>4.5777208759892156E-4</v>
          </cell>
          <cell r="G362">
            <v>4.677962938962052E-4</v>
          </cell>
          <cell r="H362">
            <v>2.0698741472994248E-2</v>
          </cell>
          <cell r="I362">
            <v>7.669590830693609E-3</v>
          </cell>
          <cell r="J362">
            <v>1.9094212783057198</v>
          </cell>
        </row>
        <row r="363">
          <cell r="B363" t="str">
            <v>SCOM-SWHSTG-CHPHFC</v>
          </cell>
          <cell r="C363" t="str">
            <v>VAR_ncap</v>
          </cell>
          <cell r="D363" t="str">
            <v>-</v>
          </cell>
          <cell r="E363">
            <v>2.9975320510543298E-3</v>
          </cell>
          <cell r="F363">
            <v>9.7464179418895499E-5</v>
          </cell>
          <cell r="G363">
            <v>1.2818036693868301E-4</v>
          </cell>
          <cell r="H363">
            <v>1.2391415991004501E-4</v>
          </cell>
          <cell r="I363">
            <v>2.67129383053299E-4</v>
          </cell>
          <cell r="J363">
            <v>0.115495385092895</v>
          </cell>
        </row>
        <row r="364">
          <cell r="B364" t="str">
            <v>SCOM-SWHSTG-CHPHFC</v>
          </cell>
          <cell r="C364" t="str">
            <v>VAR_cap</v>
          </cell>
          <cell r="D364" t="str">
            <v>-</v>
          </cell>
          <cell r="E364">
            <v>2.9975320510543298E-3</v>
          </cell>
          <cell r="F364">
            <v>3.0849202036164073E-3</v>
          </cell>
          <cell r="G364">
            <v>3.1899212798442282E-3</v>
          </cell>
          <cell r="H364">
            <v>3.2565645309306757E-3</v>
          </cell>
          <cell r="I364">
            <v>4.5561307847575231E-3</v>
          </cell>
          <cell r="J364">
            <v>0.11745269070644536</v>
          </cell>
        </row>
        <row r="365">
          <cell r="B365" t="str">
            <v>D-IHFO</v>
          </cell>
          <cell r="C365" t="str">
            <v>VAR_fout</v>
          </cell>
          <cell r="D365" t="str">
            <v>CO2</v>
          </cell>
          <cell r="E365">
            <v>213.78305476884199</v>
          </cell>
          <cell r="F365">
            <v>212.86147547753001</v>
          </cell>
          <cell r="G365">
            <v>0.56703218110253595</v>
          </cell>
          <cell r="H365">
            <v>1.1974056478756901E-2</v>
          </cell>
          <cell r="I365">
            <v>1.18454943358313E-2</v>
          </cell>
          <cell r="J365"/>
        </row>
        <row r="366">
          <cell r="B366" t="str">
            <v>D-IHFO</v>
          </cell>
          <cell r="C366" t="str">
            <v>VAR_fout</v>
          </cell>
          <cell r="D366" t="str">
            <v>IHFO</v>
          </cell>
          <cell r="E366">
            <v>2.7300341378235147</v>
          </cell>
          <cell r="F366">
            <v>2.718265464535957</v>
          </cell>
          <cell r="G366">
            <v>7.2410660111872967E-3</v>
          </cell>
          <cell r="H366">
            <v>1.5291007507858736E-4</v>
          </cell>
          <cell r="I366">
            <v>1.5126832176283282E-4</v>
          </cell>
          <cell r="J366"/>
        </row>
        <row r="367">
          <cell r="B367" t="str">
            <v>D-IHFO</v>
          </cell>
          <cell r="C367" t="str">
            <v>VAR_fin</v>
          </cell>
          <cell r="D367" t="str">
            <v>HFO</v>
          </cell>
          <cell r="E367">
            <v>2.7764033086862567</v>
          </cell>
          <cell r="F367">
            <v>2.7644347464614349</v>
          </cell>
          <cell r="G367">
            <v>7.3640543000329291E-3</v>
          </cell>
          <cell r="H367">
            <v>1.5550722699684348E-4</v>
          </cell>
          <cell r="I367">
            <v>1.5383758877702948E-4</v>
          </cell>
          <cell r="J367"/>
        </row>
        <row r="368">
          <cell r="B368" t="str">
            <v>RHNM-CHPNGA</v>
          </cell>
          <cell r="C368" t="str">
            <v>VAR_fout</v>
          </cell>
          <cell r="D368" t="str">
            <v>CO2_R</v>
          </cell>
          <cell r="E368"/>
          <cell r="F368">
            <v>0.238526734166847</v>
          </cell>
          <cell r="G368">
            <v>1.6006189497993299</v>
          </cell>
          <cell r="H368">
            <v>161.31454543947899</v>
          </cell>
          <cell r="I368">
            <v>100.81789606546501</v>
          </cell>
          <cell r="J368">
            <v>1.41200939869603E-2</v>
          </cell>
        </row>
        <row r="369">
          <cell r="B369" t="str">
            <v>RHNM-CHPNGA</v>
          </cell>
          <cell r="C369" t="str">
            <v>VAR_fout</v>
          </cell>
          <cell r="D369" t="str">
            <v>RHNM_NKEV_GAS_ELC_CHP</v>
          </cell>
          <cell r="E369"/>
          <cell r="F369">
            <v>1.2343162273227377E-3</v>
          </cell>
          <cell r="G369">
            <v>6.6484930617861067E-3</v>
          </cell>
          <cell r="H369">
            <v>0.85632243797431651</v>
          </cell>
          <cell r="I369">
            <v>0.54518390259794669</v>
          </cell>
          <cell r="J369">
            <v>6.3812938085306624E-5</v>
          </cell>
        </row>
        <row r="370">
          <cell r="B370" t="str">
            <v>RHNM-CHPNGA</v>
          </cell>
          <cell r="C370" t="str">
            <v>VAR_fout</v>
          </cell>
          <cell r="D370" t="str">
            <v>RHNM_LTH_CHPNGA</v>
          </cell>
          <cell r="E370"/>
          <cell r="F370">
            <v>2.6553405184565927E-3</v>
          </cell>
          <cell r="G370">
            <v>1.4091748512567337E-2</v>
          </cell>
          <cell r="H370">
            <v>1.7697330384802561</v>
          </cell>
          <cell r="I370">
            <v>1.0993052462220891</v>
          </cell>
          <cell r="J370">
            <v>1.2556739429689362E-4</v>
          </cell>
        </row>
        <row r="371">
          <cell r="B371" t="str">
            <v>RHNM-CHPNGA</v>
          </cell>
          <cell r="C371" t="str">
            <v>VAR_fin</v>
          </cell>
          <cell r="D371" t="str">
            <v>RNGA</v>
          </cell>
          <cell r="E371"/>
          <cell r="F371">
            <v>4.2291974143058055E-3</v>
          </cell>
          <cell r="G371">
            <v>2.8379768613463356E-2</v>
          </cell>
          <cell r="H371">
            <v>2.8601869758772933</v>
          </cell>
          <cell r="I371">
            <v>1.7875513486784631</v>
          </cell>
          <cell r="J371">
            <v>2.5035627636454472E-4</v>
          </cell>
        </row>
        <row r="372">
          <cell r="B372" t="str">
            <v>RHNM-CHPNGA</v>
          </cell>
          <cell r="C372" t="str">
            <v>VAR_ncap</v>
          </cell>
          <cell r="D372" t="str">
            <v>-</v>
          </cell>
          <cell r="E372"/>
          <cell r="F372">
            <v>2.9770290243951402E-4</v>
          </cell>
          <cell r="G372">
            <v>4.2538100683169999E-4</v>
          </cell>
          <cell r="H372">
            <v>6.2820758021756004E-2</v>
          </cell>
          <cell r="I372">
            <v>2.64814824240419E-7</v>
          </cell>
          <cell r="J372">
            <v>1.8083036592023601E-7</v>
          </cell>
        </row>
        <row r="373">
          <cell r="B373" t="str">
            <v>RHNM-CHPNGA</v>
          </cell>
          <cell r="C373" t="str">
            <v>VAR_cap</v>
          </cell>
          <cell r="D373" t="str">
            <v>-</v>
          </cell>
          <cell r="E373"/>
          <cell r="F373">
            <v>2.9770290243951402E-4</v>
          </cell>
          <cell r="G373">
            <v>7.2302512353531227E-4</v>
          </cell>
          <cell r="H373">
            <v>6.3543657512563453E-2</v>
          </cell>
          <cell r="I373">
            <v>4.0667628029824501E-2</v>
          </cell>
          <cell r="J373">
            <v>1.9031821398000914E-5</v>
          </cell>
        </row>
        <row r="374">
          <cell r="B374" t="str">
            <v>G-INTC-EXP00-DE</v>
          </cell>
          <cell r="C374" t="str">
            <v>VAR_fout</v>
          </cell>
          <cell r="D374" t="str">
            <v>ELC_E-DE</v>
          </cell>
          <cell r="E374">
            <v>26.492985666738182</v>
          </cell>
          <cell r="F374">
            <v>1.8525769686519055E-3</v>
          </cell>
          <cell r="G374">
            <v>2.1699988003599183E-3</v>
          </cell>
          <cell r="H374">
            <v>1.2998078946820698E-3</v>
          </cell>
          <cell r="I374">
            <v>3.6725748209389653</v>
          </cell>
          <cell r="J374">
            <v>1.1479525672723023</v>
          </cell>
        </row>
        <row r="375">
          <cell r="B375" t="str">
            <v>G-INTC-EXP00-DE</v>
          </cell>
          <cell r="C375" t="str">
            <v>VAR_fin</v>
          </cell>
          <cell r="D375" t="str">
            <v>ELC</v>
          </cell>
          <cell r="E375">
            <v>26.492985666738182</v>
          </cell>
          <cell r="F375">
            <v>1.8525769686519055E-3</v>
          </cell>
          <cell r="G375">
            <v>2.1699988003599183E-3</v>
          </cell>
          <cell r="H375">
            <v>1.2998078946820698E-3</v>
          </cell>
          <cell r="I375">
            <v>3.6725748209389653</v>
          </cell>
          <cell r="J375">
            <v>1.1479525672723023</v>
          </cell>
        </row>
        <row r="376">
          <cell r="B376" t="str">
            <v>G-INTC-EXP00-DE</v>
          </cell>
          <cell r="C376" t="str">
            <v>VAR_ncap</v>
          </cell>
          <cell r="D376" t="str">
            <v>-</v>
          </cell>
          <cell r="E376">
            <v>5.5846963084222202E-3</v>
          </cell>
          <cell r="F376">
            <v>5.5841294610479899E-3</v>
          </cell>
          <cell r="G376">
            <v>5.5829731869991104E-3</v>
          </cell>
          <cell r="H376">
            <v>5.5861035775334198E-3</v>
          </cell>
          <cell r="I376">
            <v>5.5846028766950804E-3</v>
          </cell>
          <cell r="J376">
            <v>5.5836452669776899E-3</v>
          </cell>
        </row>
        <row r="377">
          <cell r="B377" t="str">
            <v>G-INTC-EXP00-DE</v>
          </cell>
          <cell r="C377" t="str">
            <v>VAR_cap</v>
          </cell>
          <cell r="D377" t="str">
            <v>-</v>
          </cell>
          <cell r="E377">
            <v>4.0277104822623038</v>
          </cell>
          <cell r="F377">
            <v>2.3776781854966997</v>
          </cell>
          <cell r="G377">
            <v>2.3776719935396797</v>
          </cell>
          <cell r="H377">
            <v>2.3830169294428609</v>
          </cell>
          <cell r="I377">
            <v>2.4000005765711721</v>
          </cell>
          <cell r="J377">
            <v>1.2251401124895338</v>
          </cell>
        </row>
        <row r="378">
          <cell r="B378" t="str">
            <v>CEN-EBAT</v>
          </cell>
          <cell r="C378" t="str">
            <v>VAR_fout</v>
          </cell>
          <cell r="D378" t="str">
            <v>ELC13</v>
          </cell>
          <cell r="E378">
            <v>8.2496245515616667E-3</v>
          </cell>
          <cell r="F378">
            <v>6.7170810476567056E-3</v>
          </cell>
          <cell r="G378">
            <v>8.1543007788441764E-3</v>
          </cell>
          <cell r="H378">
            <v>4.8945173381190355E-3</v>
          </cell>
          <cell r="I378">
            <v>4.8969097659168383E-3</v>
          </cell>
          <cell r="J378">
            <v>3.7882263851059965E-2</v>
          </cell>
        </row>
        <row r="379">
          <cell r="B379" t="str">
            <v>CEN-EBAT</v>
          </cell>
          <cell r="C379" t="str">
            <v>VAR_fout</v>
          </cell>
          <cell r="D379" t="str">
            <v>AUX_CEN-EBAT_OUT</v>
          </cell>
          <cell r="E379">
            <v>8.2496245515616476E-3</v>
          </cell>
          <cell r="F379">
            <v>6.7170810476566882E-3</v>
          </cell>
          <cell r="G379">
            <v>8.1543007788441521E-3</v>
          </cell>
          <cell r="H379">
            <v>4.8945173381190199E-3</v>
          </cell>
          <cell r="I379">
            <v>4.896909765916827E-3</v>
          </cell>
          <cell r="J379">
            <v>3.7882263851059861E-2</v>
          </cell>
        </row>
        <row r="380">
          <cell r="B380" t="str">
            <v>CEN-EBAT</v>
          </cell>
          <cell r="C380" t="str">
            <v>VAR_fin</v>
          </cell>
          <cell r="D380" t="str">
            <v>AUX_CEN-EBAT_IN</v>
          </cell>
          <cell r="E380">
            <v>9.5683657220507288E-3</v>
          </cell>
          <cell r="F380">
            <v>7.7863138369526786E-3</v>
          </cell>
          <cell r="G380">
            <v>9.4060792678875901E-3</v>
          </cell>
          <cell r="H380">
            <v>5.6500017730076449E-3</v>
          </cell>
          <cell r="I380">
            <v>5.652478948439235E-3</v>
          </cell>
          <cell r="J380">
            <v>4.3693981865816398E-2</v>
          </cell>
        </row>
        <row r="381">
          <cell r="B381" t="str">
            <v>CEN-EBAT</v>
          </cell>
          <cell r="C381" t="str">
            <v>VAR_fin</v>
          </cell>
          <cell r="D381" t="str">
            <v>ELC13</v>
          </cell>
          <cell r="E381">
            <v>9.5683657220507288E-3</v>
          </cell>
          <cell r="F381">
            <v>7.7863138369526786E-3</v>
          </cell>
          <cell r="G381">
            <v>9.4060792678875901E-3</v>
          </cell>
          <cell r="H381">
            <v>5.6500017730076449E-3</v>
          </cell>
          <cell r="I381">
            <v>5.652478948439235E-3</v>
          </cell>
          <cell r="J381">
            <v>4.3693981865816398E-2</v>
          </cell>
        </row>
        <row r="382">
          <cell r="B382" t="str">
            <v>CEN-EBAT</v>
          </cell>
          <cell r="C382" t="str">
            <v>VAR_ncap</v>
          </cell>
          <cell r="D382" t="str">
            <v>-</v>
          </cell>
          <cell r="E382">
            <v>1.4145276796094901E-3</v>
          </cell>
          <cell r="F382">
            <v>1.87926450213563E-6</v>
          </cell>
          <cell r="G382">
            <v>3.2638194789854599E-6</v>
          </cell>
          <cell r="H382">
            <v>2.87990732065858E-6</v>
          </cell>
          <cell r="I382">
            <v>0.15677825371783899</v>
          </cell>
          <cell r="J382">
            <v>0.82121567538555396</v>
          </cell>
        </row>
        <row r="383">
          <cell r="B383" t="str">
            <v>CEN-EBAT</v>
          </cell>
          <cell r="C383" t="str">
            <v>VAR_cap</v>
          </cell>
          <cell r="D383" t="str">
            <v>-</v>
          </cell>
          <cell r="E383">
            <v>1.4145276796094901E-3</v>
          </cell>
          <cell r="F383">
            <v>1.4152478827193515E-3</v>
          </cell>
          <cell r="G383">
            <v>1.4176599242536256E-3</v>
          </cell>
          <cell r="H383">
            <v>1.0385354093291239E-3</v>
          </cell>
          <cell r="I383">
            <v>0.15841494347245585</v>
          </cell>
          <cell r="J383">
            <v>0.90012664120206454</v>
          </cell>
        </row>
        <row r="384">
          <cell r="B384" t="str">
            <v>ESOL-PV</v>
          </cell>
          <cell r="C384" t="str">
            <v>VAR_fout</v>
          </cell>
          <cell r="D384" t="str">
            <v>ELC35</v>
          </cell>
          <cell r="E384"/>
          <cell r="F384"/>
          <cell r="G384">
            <v>0.14080689302850102</v>
          </cell>
          <cell r="H384">
            <v>0.15585264306761207</v>
          </cell>
          <cell r="I384">
            <v>0.15594865046528089</v>
          </cell>
          <cell r="J384">
            <v>4.6294469577718277E-3</v>
          </cell>
        </row>
        <row r="385">
          <cell r="B385" t="str">
            <v>ESOL-PV</v>
          </cell>
          <cell r="C385" t="str">
            <v>VAR_fin</v>
          </cell>
          <cell r="D385" t="str">
            <v>SOL</v>
          </cell>
          <cell r="E385"/>
          <cell r="F385"/>
          <cell r="G385">
            <v>0.14080689302850102</v>
          </cell>
          <cell r="H385">
            <v>0.15585264306761207</v>
          </cell>
          <cell r="I385">
            <v>0.15594865046528089</v>
          </cell>
          <cell r="J385">
            <v>4.6294469577718277E-3</v>
          </cell>
        </row>
        <row r="386">
          <cell r="B386" t="str">
            <v>ESOL-PV</v>
          </cell>
          <cell r="C386" t="str">
            <v>VAR_fin</v>
          </cell>
          <cell r="D386" t="str">
            <v>SOLPVC</v>
          </cell>
          <cell r="E386"/>
          <cell r="F386"/>
          <cell r="G386">
            <v>0.140806893028501</v>
          </cell>
          <cell r="H386">
            <v>0.15585264306761201</v>
          </cell>
          <cell r="I386">
            <v>0.155948650465281</v>
          </cell>
          <cell r="J386">
            <v>4.6294469577718199E-3</v>
          </cell>
        </row>
        <row r="387">
          <cell r="B387" t="str">
            <v>ESOL-PV</v>
          </cell>
          <cell r="C387" t="str">
            <v>VAR_ncap</v>
          </cell>
          <cell r="D387" t="str">
            <v>-</v>
          </cell>
          <cell r="E387"/>
          <cell r="F387"/>
          <cell r="G387">
            <v>4.4925842558885397E-2</v>
          </cell>
          <cell r="H387">
            <v>1.8952942641271799E-6</v>
          </cell>
          <cell r="I387">
            <v>1.32476731336464E-5</v>
          </cell>
          <cell r="J387">
            <v>1.31211364995085E-3</v>
          </cell>
        </row>
        <row r="388">
          <cell r="B388" t="str">
            <v>ESOL-PV</v>
          </cell>
          <cell r="C388" t="str">
            <v>VAR_cap</v>
          </cell>
          <cell r="D388" t="str">
            <v>-</v>
          </cell>
          <cell r="E388"/>
          <cell r="F388"/>
          <cell r="G388">
            <v>4.4925842558885397E-2</v>
          </cell>
          <cell r="H388">
            <v>4.4927737853149498E-2</v>
          </cell>
          <cell r="I388">
            <v>4.4960679619328703E-2</v>
          </cell>
          <cell r="J388">
            <v>1.34154760848474E-3</v>
          </cell>
        </row>
        <row r="389">
          <cell r="B389" t="str">
            <v>RHEM-SHSTG-CHPNGA</v>
          </cell>
          <cell r="C389" t="str">
            <v>VAR_fout</v>
          </cell>
          <cell r="D389" t="str">
            <v>RHEM_LTH_CHPNGA</v>
          </cell>
          <cell r="E389">
            <v>2.6556414818003166E-2</v>
          </cell>
          <cell r="F389">
            <v>1.1238905358395338E-4</v>
          </cell>
          <cell r="G389">
            <v>1.5788637661390426E-2</v>
          </cell>
          <cell r="H389">
            <v>0.37848556440357362</v>
          </cell>
          <cell r="I389">
            <v>2.0322631579229405E-2</v>
          </cell>
          <cell r="J389">
            <v>8.6597267071607047E-4</v>
          </cell>
        </row>
        <row r="390">
          <cell r="B390" t="str">
            <v>RHEM-SHSTG-CHPNGA</v>
          </cell>
          <cell r="C390" t="str">
            <v>VAR_fout</v>
          </cell>
          <cell r="D390" t="str">
            <v>AUX_REM-CHPNGA_OUT</v>
          </cell>
          <cell r="E390">
            <v>2.6556414818003221E-2</v>
          </cell>
          <cell r="F390">
            <v>1.1231417746564317E-4</v>
          </cell>
          <cell r="G390">
            <v>1.5772208277767766E-2</v>
          </cell>
          <cell r="H390">
            <v>0.37848556440357362</v>
          </cell>
          <cell r="I390">
            <v>2.032263157922946E-2</v>
          </cell>
          <cell r="J390">
            <v>8.6597267071607123E-4</v>
          </cell>
        </row>
        <row r="391">
          <cell r="B391" t="str">
            <v>RHEM-SHSTG-CHPNGA</v>
          </cell>
          <cell r="C391" t="str">
            <v>VAR_fin</v>
          </cell>
          <cell r="D391" t="str">
            <v>AUX_REM-CHPNGA_IN</v>
          </cell>
          <cell r="E391">
            <v>3.543594691578611E-2</v>
          </cell>
          <cell r="F391">
            <v>1.418375776981362E-4</v>
          </cell>
          <cell r="G391">
            <v>2.0360833601492618E-2</v>
          </cell>
          <cell r="H391">
            <v>0.47311275654975204</v>
          </cell>
          <cell r="I391">
            <v>2.3914790072635864E-2</v>
          </cell>
          <cell r="J391">
            <v>9.6799290163881817E-4</v>
          </cell>
        </row>
        <row r="392">
          <cell r="B392" t="str">
            <v>RHEM-SHSTG-CHPNGA</v>
          </cell>
          <cell r="C392" t="str">
            <v>VAR_fin</v>
          </cell>
          <cell r="D392" t="str">
            <v>RHEM_LTH_CHPNGA</v>
          </cell>
          <cell r="E392">
            <v>3.543594691578611E-2</v>
          </cell>
          <cell r="F392">
            <v>1.418375776981362E-4</v>
          </cell>
          <cell r="G392">
            <v>2.0360833601492618E-2</v>
          </cell>
          <cell r="H392">
            <v>0.47311275654975204</v>
          </cell>
          <cell r="I392">
            <v>2.3914790072635864E-2</v>
          </cell>
          <cell r="J392">
            <v>9.6799290163881817E-4</v>
          </cell>
        </row>
        <row r="393">
          <cell r="B393" t="str">
            <v>RHEM-SHSTG-CHPNGA</v>
          </cell>
          <cell r="C393" t="str">
            <v>VAR_ncap</v>
          </cell>
          <cell r="D393" t="str">
            <v>-</v>
          </cell>
          <cell r="E393">
            <v>8.8254071665431408E-3</v>
          </cell>
          <cell r="F393">
            <v>1.19988380274167E-4</v>
          </cell>
          <cell r="G393">
            <v>3.8031491785938498E-3</v>
          </cell>
          <cell r="H393">
            <v>1.39239414391181E-2</v>
          </cell>
          <cell r="I393">
            <v>3.6045262844471699E-4</v>
          </cell>
          <cell r="J393">
            <v>2.6950578216111503E-4</v>
          </cell>
        </row>
        <row r="394">
          <cell r="B394" t="str">
            <v>RHEM-SHSTG-CHPNGA</v>
          </cell>
          <cell r="C394" t="str">
            <v>VAR_cap</v>
          </cell>
          <cell r="D394" t="str">
            <v>-</v>
          </cell>
          <cell r="E394">
            <v>8.8254071665431408E-3</v>
          </cell>
          <cell r="F394">
            <v>8.9288775963370301E-3</v>
          </cell>
          <cell r="G394">
            <v>1.2686249479333445E-2</v>
          </cell>
          <cell r="H394">
            <v>2.6529926759173348E-2</v>
          </cell>
          <cell r="I394">
            <v>1.835911623138484E-2</v>
          </cell>
          <cell r="J394">
            <v>4.4097166973376201E-3</v>
          </cell>
        </row>
        <row r="395">
          <cell r="B395" t="str">
            <v>RHNS-ESOLPV</v>
          </cell>
          <cell r="C395" t="str">
            <v>VAR_fout</v>
          </cell>
          <cell r="D395" t="str">
            <v>RHNS_SOL_ELC</v>
          </cell>
          <cell r="E395"/>
          <cell r="F395">
            <v>3.8982646521363769E-5</v>
          </cell>
          <cell r="G395">
            <v>5.1949409605697499E-3</v>
          </cell>
          <cell r="H395">
            <v>5.7531681583534713E-3</v>
          </cell>
          <cell r="I395">
            <v>6.433269368567418E-3</v>
          </cell>
          <cell r="J395">
            <v>8.8187663642818829E-3</v>
          </cell>
        </row>
        <row r="396">
          <cell r="B396" t="str">
            <v>RHNS-ESOLPV</v>
          </cell>
          <cell r="C396" t="str">
            <v>VAR_fin</v>
          </cell>
          <cell r="D396" t="str">
            <v>SOL</v>
          </cell>
          <cell r="E396"/>
          <cell r="F396">
            <v>3.8982646521363769E-5</v>
          </cell>
          <cell r="G396">
            <v>5.1949409605697499E-3</v>
          </cell>
          <cell r="H396">
            <v>5.7531681583534713E-3</v>
          </cell>
          <cell r="I396">
            <v>6.433269368567418E-3</v>
          </cell>
          <cell r="J396">
            <v>8.8187663642818829E-3</v>
          </cell>
        </row>
        <row r="397">
          <cell r="B397" t="str">
            <v>RHNS-ESOLPV</v>
          </cell>
          <cell r="C397" t="str">
            <v>VAR_fin</v>
          </cell>
          <cell r="D397" t="str">
            <v>SOLPVC</v>
          </cell>
          <cell r="E397"/>
          <cell r="F397">
            <v>3.8982646521363803E-5</v>
          </cell>
          <cell r="G397">
            <v>5.1949409605697499E-3</v>
          </cell>
          <cell r="H397">
            <v>5.75316815835346E-3</v>
          </cell>
          <cell r="I397">
            <v>6.4332693685674198E-3</v>
          </cell>
          <cell r="J397">
            <v>8.8187663642818794E-3</v>
          </cell>
        </row>
        <row r="398">
          <cell r="B398" t="str">
            <v>RHNS-ESOLPV</v>
          </cell>
          <cell r="C398" t="str">
            <v>VAR_ncap</v>
          </cell>
          <cell r="D398" t="str">
            <v>-</v>
          </cell>
          <cell r="E398"/>
          <cell r="F398">
            <v>1.33133729961013E-5</v>
          </cell>
          <cell r="G398">
            <v>1.6445173622205E-3</v>
          </cell>
          <cell r="H398">
            <v>3.2468167254404899E-7</v>
          </cell>
          <cell r="I398">
            <v>1.12585031270354E-4</v>
          </cell>
          <cell r="J398">
            <v>2.35836109220856E-3</v>
          </cell>
        </row>
        <row r="399">
          <cell r="B399" t="str">
            <v>RHNS-ESOLPV</v>
          </cell>
          <cell r="C399" t="str">
            <v>VAR_cap</v>
          </cell>
          <cell r="D399" t="str">
            <v>-</v>
          </cell>
          <cell r="E399"/>
          <cell r="F399">
            <v>1.33133729961013E-5</v>
          </cell>
          <cell r="G399">
            <v>1.6578307352166E-3</v>
          </cell>
          <cell r="H399">
            <v>1.6581554168891501E-3</v>
          </cell>
          <cell r="I399">
            <v>1.8561269925892799E-3</v>
          </cell>
          <cell r="J399">
            <v>2.54417976659718E-3</v>
          </cell>
        </row>
        <row r="400">
          <cell r="B400" t="str">
            <v>RHSA-WHSTG-CHP</v>
          </cell>
          <cell r="C400" t="str">
            <v>VAR_fout</v>
          </cell>
          <cell r="D400" t="str">
            <v>AUX_RHSA-CHP_OUT</v>
          </cell>
          <cell r="E400">
            <v>0.18298636683894956</v>
          </cell>
          <cell r="F400">
            <v>7.2514388834815299E-4</v>
          </cell>
          <cell r="G400">
            <v>4.0868987581669056E-2</v>
          </cell>
          <cell r="H400">
            <v>1.7480467855430888</v>
          </cell>
          <cell r="I400">
            <v>7.509969864712987E-2</v>
          </cell>
          <cell r="J400">
            <v>4.7186392997046432E-3</v>
          </cell>
        </row>
        <row r="401">
          <cell r="B401" t="str">
            <v>RHSA-WHSTG-CHP</v>
          </cell>
          <cell r="C401" t="str">
            <v>VAR_fout</v>
          </cell>
          <cell r="D401" t="str">
            <v>RHSA_LTH</v>
          </cell>
          <cell r="E401">
            <v>0.18298636683894914</v>
          </cell>
          <cell r="F401">
            <v>7.2562731760704988E-4</v>
          </cell>
          <cell r="G401">
            <v>4.0911559443733238E-2</v>
          </cell>
          <cell r="H401">
            <v>1.7480467855430888</v>
          </cell>
          <cell r="I401">
            <v>7.5099698647129579E-2</v>
          </cell>
          <cell r="J401">
            <v>4.7186392997046389E-3</v>
          </cell>
        </row>
        <row r="402">
          <cell r="B402" t="str">
            <v>RHSA-WHSTG-CHP</v>
          </cell>
          <cell r="C402" t="str">
            <v>VAR_fin</v>
          </cell>
          <cell r="D402" t="str">
            <v>RHSA_LTH</v>
          </cell>
          <cell r="E402">
            <v>0.24395088354361352</v>
          </cell>
          <cell r="F402">
            <v>9.5815672924795417E-4</v>
          </cell>
          <cell r="G402">
            <v>5.2777506869065523E-2</v>
          </cell>
          <cell r="H402">
            <v>2.1850642829742508</v>
          </cell>
          <cell r="I402">
            <v>8.8358392533809255E-2</v>
          </cell>
          <cell r="J402">
            <v>5.248733600516981E-3</v>
          </cell>
        </row>
        <row r="403">
          <cell r="B403" t="str">
            <v>RHSA-WHSTG-CHP</v>
          </cell>
          <cell r="C403" t="str">
            <v>VAR_fin</v>
          </cell>
          <cell r="D403" t="str">
            <v>AUX_RHSA-CHP_IN</v>
          </cell>
          <cell r="E403">
            <v>0.24395088354361352</v>
          </cell>
          <cell r="F403">
            <v>9.5815672924795417E-4</v>
          </cell>
          <cell r="G403">
            <v>5.2777506869065523E-2</v>
          </cell>
          <cell r="H403">
            <v>2.1850642829742508</v>
          </cell>
          <cell r="I403">
            <v>8.8358392533809255E-2</v>
          </cell>
          <cell r="J403">
            <v>5.248733600516981E-3</v>
          </cell>
        </row>
        <row r="404">
          <cell r="B404" t="str">
            <v>RHSA-WHSTG-CHP</v>
          </cell>
          <cell r="C404" t="str">
            <v>VAR_ncap</v>
          </cell>
          <cell r="D404" t="str">
            <v>-</v>
          </cell>
          <cell r="E404">
            <v>1.11056101588496E-2</v>
          </cell>
          <cell r="F404">
            <v>7.9730436419308106E-5</v>
          </cell>
          <cell r="G404">
            <v>1.1036126978140801E-3</v>
          </cell>
          <cell r="H404">
            <v>9.8908904006393503E-2</v>
          </cell>
          <cell r="I404">
            <v>3.61369534732526E-4</v>
          </cell>
          <cell r="J404">
            <v>2.62625709831281E-3</v>
          </cell>
        </row>
        <row r="405">
          <cell r="B405" t="str">
            <v>RHSA-WHSTG-CHP</v>
          </cell>
          <cell r="C405" t="str">
            <v>VAR_cap</v>
          </cell>
          <cell r="D405" t="str">
            <v>-</v>
          </cell>
          <cell r="E405">
            <v>1.1784059471937494E-2</v>
          </cell>
          <cell r="F405">
            <v>1.1806107900238465E-2</v>
          </cell>
          <cell r="G405">
            <v>1.2830965712133038E-2</v>
          </cell>
          <cell r="H405">
            <v>0.11127651973537221</v>
          </cell>
          <cell r="I405">
            <v>3.6529153235088499E-2</v>
          </cell>
          <cell r="J405">
            <v>3.8788905785546923E-3</v>
          </cell>
        </row>
        <row r="406">
          <cell r="B406" t="str">
            <v>G-INTC-SER</v>
          </cell>
          <cell r="C406" t="str">
            <v>VAR_fout</v>
          </cell>
          <cell r="D406" t="str">
            <v>ELC35</v>
          </cell>
          <cell r="E406">
            <v>48.820163768412357</v>
          </cell>
          <cell r="F406">
            <v>9.859943729539326E-3</v>
          </cell>
          <cell r="G406">
            <v>1.6048689949718024E-2</v>
          </cell>
          <cell r="H406">
            <v>1.4154763508814207E-2</v>
          </cell>
          <cell r="I406">
            <v>7.610135385470191E-4</v>
          </cell>
          <cell r="J406">
            <v>0.41984356222833225</v>
          </cell>
        </row>
        <row r="407">
          <cell r="B407" t="str">
            <v>G-INTC-SER</v>
          </cell>
          <cell r="C407" t="str">
            <v>VAR_fout</v>
          </cell>
          <cell r="D407" t="str">
            <v>SCOM_ELC</v>
          </cell>
          <cell r="E407">
            <v>60.683796111382954</v>
          </cell>
          <cell r="F407">
            <v>58.904913954796854</v>
          </cell>
          <cell r="G407">
            <v>57.346495210708817</v>
          </cell>
          <cell r="H407">
            <v>55.454272259223856</v>
          </cell>
          <cell r="I407">
            <v>47.981532955118055</v>
          </cell>
          <cell r="J407">
            <v>41.717121775798667</v>
          </cell>
        </row>
        <row r="408">
          <cell r="B408" t="str">
            <v>G-INTC-SER</v>
          </cell>
          <cell r="C408" t="str">
            <v>VAR_fin</v>
          </cell>
          <cell r="D408" t="str">
            <v>ELC5</v>
          </cell>
          <cell r="E408">
            <v>109.50393864256428</v>
          </cell>
          <cell r="F408">
            <v>58.914773898526363</v>
          </cell>
          <cell r="G408">
            <v>57.362543900658544</v>
          </cell>
          <cell r="H408">
            <v>55.468427022732691</v>
          </cell>
          <cell r="I408">
            <v>47.98229396865662</v>
          </cell>
          <cell r="J408">
            <v>42.136965338027018</v>
          </cell>
        </row>
        <row r="409">
          <cell r="B409" t="str">
            <v>G-INTC-SER</v>
          </cell>
          <cell r="C409" t="str">
            <v>VAR_ncap</v>
          </cell>
          <cell r="D409" t="str">
            <v>-</v>
          </cell>
          <cell r="E409">
            <v>8.4635781676705796E-8</v>
          </cell>
          <cell r="F409">
            <v>8.7256299934574196E-8</v>
          </cell>
          <cell r="G409">
            <v>7.1616099262280006E-8</v>
          </cell>
          <cell r="H409">
            <v>1.00094225054795E-7</v>
          </cell>
          <cell r="I409">
            <v>9.6622631890574798E-8</v>
          </cell>
          <cell r="J409">
            <v>2.2548120361990699E-7</v>
          </cell>
        </row>
        <row r="410">
          <cell r="B410" t="str">
            <v>G-INTC-SER</v>
          </cell>
          <cell r="C410" t="str">
            <v>VAR_cap</v>
          </cell>
          <cell r="D410" t="str">
            <v>-</v>
          </cell>
          <cell r="E410">
            <v>4.3683888589490198</v>
          </cell>
          <cell r="F410">
            <v>4.3683888864672582</v>
          </cell>
          <cell r="G410">
            <v>4.3683890308411018</v>
          </cell>
          <cell r="H410">
            <v>4.3683891575279761</v>
          </cell>
          <cell r="I410">
            <v>4.3683893153362368</v>
          </cell>
          <cell r="J410">
            <v>4.3683895322841053</v>
          </cell>
        </row>
        <row r="411">
          <cell r="B411" t="str">
            <v>CHPWOD</v>
          </cell>
          <cell r="C411" t="str">
            <v>VAR_fout</v>
          </cell>
          <cell r="D411" t="str">
            <v>ELC35</v>
          </cell>
          <cell r="E411">
            <v>1.9411998127158161E-3</v>
          </cell>
          <cell r="F411">
            <v>1.047560437685372E-2</v>
          </cell>
          <cell r="G411">
            <v>1.2134012079762714E-3</v>
          </cell>
          <cell r="H411">
            <v>0.75903305844832247</v>
          </cell>
          <cell r="I411">
            <v>1.0625742998064294</v>
          </cell>
          <cell r="J411">
            <v>1.3050031382903908</v>
          </cell>
        </row>
        <row r="412">
          <cell r="B412" t="str">
            <v>CHPWOD</v>
          </cell>
          <cell r="C412" t="str">
            <v>VAR_fout</v>
          </cell>
          <cell r="D412" t="str">
            <v>LTH</v>
          </cell>
          <cell r="E412">
            <v>5.0765961187278896E-3</v>
          </cell>
          <cell r="F412">
            <v>2.7395640661258346E-2</v>
          </cell>
          <cell r="G412">
            <v>3.1732683171105738E-3</v>
          </cell>
          <cell r="H412">
            <v>1.9850116681775223</v>
          </cell>
          <cell r="I412">
            <v>2.7788280891654056</v>
          </cell>
          <cell r="J412">
            <v>3.41282428700841</v>
          </cell>
        </row>
        <row r="413">
          <cell r="B413" t="str">
            <v>CHPWOD</v>
          </cell>
          <cell r="C413" t="str">
            <v>VAR_fin</v>
          </cell>
          <cell r="D413" t="str">
            <v>EWOD</v>
          </cell>
          <cell r="E413">
            <v>8.3686762200846244E-3</v>
          </cell>
          <cell r="F413">
            <v>4.19581818033491E-2</v>
          </cell>
          <cell r="G413">
            <v>5.6651741759594408E-3</v>
          </cell>
          <cell r="H413">
            <v>2.760576826129634</v>
          </cell>
          <cell r="I413">
            <v>3.4707408751220097</v>
          </cell>
          <cell r="J413">
            <v>4.2616052259403796</v>
          </cell>
        </row>
        <row r="414">
          <cell r="B414" t="str">
            <v>CHPWOD</v>
          </cell>
          <cell r="C414" t="str">
            <v>VAR_ncap</v>
          </cell>
          <cell r="D414" t="str">
            <v>-</v>
          </cell>
          <cell r="E414"/>
          <cell r="F414">
            <v>1.33232775013024E-4</v>
          </cell>
          <cell r="G414">
            <v>2.6473972105041099E-5</v>
          </cell>
          <cell r="H414">
            <v>2.8106207487311002E-2</v>
          </cell>
          <cell r="I414">
            <v>3.5401912173387499E-2</v>
          </cell>
          <cell r="J414">
            <v>3.9378834835884103E-3</v>
          </cell>
        </row>
        <row r="415">
          <cell r="B415" t="str">
            <v>CHPWOD</v>
          </cell>
          <cell r="C415" t="str">
            <v>VAR_cap</v>
          </cell>
          <cell r="D415" t="str">
            <v>-</v>
          </cell>
          <cell r="E415">
            <v>3.528656498959018E-4</v>
          </cell>
          <cell r="F415">
            <v>4.1794257917542738E-4</v>
          </cell>
          <cell r="G415">
            <v>2.2081365587686697E-4</v>
          </cell>
          <cell r="H415">
            <v>2.83243297834328E-2</v>
          </cell>
          <cell r="I415">
            <v>7.5225306793776023E-2</v>
          </cell>
          <cell r="J415">
            <v>5.5906231893474795E-2</v>
          </cell>
        </row>
        <row r="416">
          <cell r="B416" t="str">
            <v>D-EH2R</v>
          </cell>
          <cell r="C416" t="str">
            <v>VAR_fout</v>
          </cell>
          <cell r="D416" t="str">
            <v>EH2</v>
          </cell>
          <cell r="E416"/>
          <cell r="F416"/>
          <cell r="G416"/>
          <cell r="H416"/>
          <cell r="I416">
            <v>1.5766963817120553E-4</v>
          </cell>
          <cell r="J416">
            <v>4.3044972941351631E-4</v>
          </cell>
        </row>
        <row r="417">
          <cell r="B417" t="str">
            <v>D-EH2R</v>
          </cell>
          <cell r="C417" t="str">
            <v>VAR_fin</v>
          </cell>
          <cell r="D417" t="str">
            <v>H2</v>
          </cell>
          <cell r="E417"/>
          <cell r="F417"/>
          <cell r="G417"/>
          <cell r="H417"/>
          <cell r="I417">
            <v>1.5766963817120553E-4</v>
          </cell>
          <cell r="J417">
            <v>4.3044972941351631E-4</v>
          </cell>
        </row>
        <row r="418">
          <cell r="B418" t="str">
            <v>D-EH2R</v>
          </cell>
          <cell r="C418" t="str">
            <v>VAR_ncap</v>
          </cell>
          <cell r="D418" t="str">
            <v>-</v>
          </cell>
          <cell r="E418"/>
          <cell r="F418"/>
          <cell r="G418"/>
          <cell r="H418">
            <v>7.9579468489587197E-7</v>
          </cell>
          <cell r="I418">
            <v>4.69777041993936E-4</v>
          </cell>
          <cell r="J418">
            <v>1.6257241201401699E-4</v>
          </cell>
        </row>
        <row r="419">
          <cell r="B419" t="str">
            <v>D-EH2R</v>
          </cell>
          <cell r="C419" t="str">
            <v>VAR_cap</v>
          </cell>
          <cell r="D419" t="str">
            <v>-</v>
          </cell>
          <cell r="E419"/>
          <cell r="F419"/>
          <cell r="G419"/>
          <cell r="H419">
            <v>7.9579468489587197E-7</v>
          </cell>
          <cell r="I419">
            <v>4.7016921031735299E-4</v>
          </cell>
          <cell r="J419">
            <v>3.2348103012965E-4</v>
          </cell>
        </row>
        <row r="420">
          <cell r="B420" t="str">
            <v>G-INTC1</v>
          </cell>
          <cell r="C420" t="str">
            <v>VAR_fout</v>
          </cell>
          <cell r="D420" t="str">
            <v>ELC13</v>
          </cell>
          <cell r="E420">
            <v>125.02197605990351</v>
          </cell>
          <cell r="F420">
            <v>140.05087622336637</v>
          </cell>
          <cell r="G420">
            <v>118.45227683150252</v>
          </cell>
          <cell r="H420">
            <v>117.97539219227289</v>
          </cell>
          <cell r="I420">
            <v>116.34369731227426</v>
          </cell>
          <cell r="J420">
            <v>69.867012456328823</v>
          </cell>
        </row>
        <row r="421">
          <cell r="B421" t="str">
            <v>G-INTC1</v>
          </cell>
          <cell r="C421" t="str">
            <v>VAR_fin</v>
          </cell>
          <cell r="D421" t="str">
            <v>ELC</v>
          </cell>
          <cell r="E421">
            <v>126.33858716261098</v>
          </cell>
          <cell r="F421">
            <v>143.68097181260433</v>
          </cell>
          <cell r="G421">
            <v>121.25874316969703</v>
          </cell>
          <cell r="H421">
            <v>120.33519368396256</v>
          </cell>
          <cell r="I421">
            <v>117.82139154759034</v>
          </cell>
          <cell r="J421">
            <v>70.251526941149706</v>
          </cell>
        </row>
        <row r="422">
          <cell r="B422" t="str">
            <v>G-INTC1</v>
          </cell>
          <cell r="C422" t="str">
            <v>VAR_ncap</v>
          </cell>
          <cell r="D422" t="str">
            <v>-</v>
          </cell>
          <cell r="E422">
            <v>1.0316329240517E-7</v>
          </cell>
          <cell r="F422">
            <v>9.9947379580834804E-8</v>
          </cell>
          <cell r="G422">
            <v>9.6349639914993497E-8</v>
          </cell>
          <cell r="H422">
            <v>9.6555721938414198E-8</v>
          </cell>
          <cell r="I422">
            <v>9.8782878409253695E-8</v>
          </cell>
          <cell r="J422">
            <v>3.1963519886347202E-7</v>
          </cell>
        </row>
        <row r="423">
          <cell r="B423" t="str">
            <v>G-INTC1</v>
          </cell>
          <cell r="C423" t="str">
            <v>VAR_cap</v>
          </cell>
          <cell r="D423" t="str">
            <v>-</v>
          </cell>
          <cell r="E423">
            <v>15.305609183965201</v>
          </cell>
          <cell r="F423">
            <v>15.305609183965201</v>
          </cell>
          <cell r="G423">
            <v>15.305609183965201</v>
          </cell>
          <cell r="H423">
            <v>15.305609281453727</v>
          </cell>
          <cell r="I423">
            <v>15.305609579981235</v>
          </cell>
          <cell r="J423">
            <v>15.305609775000001</v>
          </cell>
        </row>
        <row r="424">
          <cell r="B424" t="str">
            <v>EHYD-RUNS00</v>
          </cell>
          <cell r="C424" t="str">
            <v>VAR_fout</v>
          </cell>
          <cell r="D424" t="str">
            <v>ELC35</v>
          </cell>
          <cell r="E424">
            <v>12.240000689066076</v>
          </cell>
          <cell r="F424">
            <v>12.240735007661062</v>
          </cell>
          <cell r="G424">
            <v>12.245686149484081</v>
          </cell>
          <cell r="H424">
            <v>12.253847196453707</v>
          </cell>
          <cell r="I424">
            <v>12.269939688539948</v>
          </cell>
          <cell r="J424">
            <v>12.286317202058992</v>
          </cell>
        </row>
        <row r="425">
          <cell r="B425" t="str">
            <v>EHYD-RUNS00</v>
          </cell>
          <cell r="C425" t="str">
            <v>VAR_fin</v>
          </cell>
          <cell r="D425" t="str">
            <v>HYDR</v>
          </cell>
          <cell r="E425">
            <v>12.240000689066076</v>
          </cell>
          <cell r="F425">
            <v>12.240735007661062</v>
          </cell>
          <cell r="G425">
            <v>12.245686149484081</v>
          </cell>
          <cell r="H425">
            <v>12.253847196453707</v>
          </cell>
          <cell r="I425">
            <v>12.269939688539948</v>
          </cell>
          <cell r="J425">
            <v>12.286317202058992</v>
          </cell>
        </row>
        <row r="426">
          <cell r="B426" t="str">
            <v>EHYD-RUNS00</v>
          </cell>
          <cell r="C426" t="str">
            <v>VAR_cap</v>
          </cell>
          <cell r="D426" t="str">
            <v>-</v>
          </cell>
          <cell r="E426">
            <v>0.85785999999999896</v>
          </cell>
          <cell r="F426">
            <v>0.88297936593724102</v>
          </cell>
          <cell r="G426">
            <v>0.89707999999999899</v>
          </cell>
          <cell r="H426">
            <v>0.89707999999999899</v>
          </cell>
          <cell r="I426">
            <v>0.89707999999999899</v>
          </cell>
          <cell r="J426">
            <v>0.89707999999999899</v>
          </cell>
        </row>
        <row r="427">
          <cell r="B427" t="str">
            <v>RHNS-SHSTG-CHPWOD</v>
          </cell>
          <cell r="C427" t="str">
            <v>VAR_fout</v>
          </cell>
          <cell r="D427" t="str">
            <v>AUX_RNS-CHPWOD_OUT</v>
          </cell>
          <cell r="E427">
            <v>9.1662747237514577E-4</v>
          </cell>
          <cell r="F427">
            <v>5.4744730351157693E-4</v>
          </cell>
          <cell r="G427">
            <v>3.7998147640249188E-4</v>
          </cell>
          <cell r="H427">
            <v>1.6586461733239584E-3</v>
          </cell>
          <cell r="I427">
            <v>4.7084305599214812E-4</v>
          </cell>
          <cell r="J427">
            <v>9.89467803600939E-4</v>
          </cell>
        </row>
        <row r="428">
          <cell r="B428" t="str">
            <v>RHNS-SHSTG-CHPWOD</v>
          </cell>
          <cell r="C428" t="str">
            <v>VAR_fout</v>
          </cell>
          <cell r="D428" t="str">
            <v>RHNS_LTH_CHPWOD</v>
          </cell>
          <cell r="E428">
            <v>9.1662747237514317E-4</v>
          </cell>
          <cell r="F428">
            <v>5.4781226838058377E-4</v>
          </cell>
          <cell r="G428">
            <v>3.8037729044041092E-4</v>
          </cell>
          <cell r="H428">
            <v>1.6586461733239584E-3</v>
          </cell>
          <cell r="I428">
            <v>4.7084305599214628E-4</v>
          </cell>
          <cell r="J428">
            <v>9.8946780360093791E-4</v>
          </cell>
        </row>
        <row r="429">
          <cell r="B429" t="str">
            <v>RHNS-SHSTG-CHPWOD</v>
          </cell>
          <cell r="C429" t="str">
            <v>VAR_fin</v>
          </cell>
          <cell r="D429" t="str">
            <v>AUX_RNS-CHPWOD_IN</v>
          </cell>
          <cell r="E429">
            <v>7.1855328874124524E-4</v>
          </cell>
          <cell r="F429">
            <v>3.0937115281391464E-4</v>
          </cell>
          <cell r="G429">
            <v>3.0386604360374515E-4</v>
          </cell>
          <cell r="H429">
            <v>2.0791087619889872E-3</v>
          </cell>
          <cell r="I429">
            <v>5.5973405231634775E-4</v>
          </cell>
          <cell r="J429">
            <v>1.1052097159692706E-3</v>
          </cell>
        </row>
        <row r="430">
          <cell r="B430" t="str">
            <v>RHNS-SHSTG-CHPWOD</v>
          </cell>
          <cell r="C430" t="str">
            <v>VAR_fin</v>
          </cell>
          <cell r="D430" t="str">
            <v>RHNS_LTH_CHPWOD</v>
          </cell>
          <cell r="E430">
            <v>7.1855328874124524E-4</v>
          </cell>
          <cell r="F430">
            <v>3.0937115281391464E-4</v>
          </cell>
          <cell r="G430">
            <v>3.0386604360374515E-4</v>
          </cell>
          <cell r="H430">
            <v>2.0791087619889872E-3</v>
          </cell>
          <cell r="I430">
            <v>5.5973405231634775E-4</v>
          </cell>
          <cell r="J430">
            <v>1.1052097159692706E-3</v>
          </cell>
        </row>
        <row r="431">
          <cell r="B431" t="str">
            <v>RHNS-SHSTG-CHPWOD</v>
          </cell>
          <cell r="C431" t="str">
            <v>VAR_ncap</v>
          </cell>
          <cell r="D431" t="str">
            <v>-</v>
          </cell>
          <cell r="E431">
            <v>3.34351396910671E-3</v>
          </cell>
          <cell r="F431">
            <v>7.6788615929169305E-5</v>
          </cell>
          <cell r="G431">
            <v>1.17331869574173E-4</v>
          </cell>
          <cell r="H431">
            <v>9.5591113401691195E-5</v>
          </cell>
          <cell r="I431">
            <v>2.5689662879437502E-4</v>
          </cell>
          <cell r="J431">
            <v>6.3783298339899501E-4</v>
          </cell>
        </row>
        <row r="432">
          <cell r="B432" t="str">
            <v>RHNS-SHSTG-CHPWOD</v>
          </cell>
          <cell r="C432" t="str">
            <v>VAR_cap</v>
          </cell>
          <cell r="D432" t="str">
            <v>-</v>
          </cell>
          <cell r="E432">
            <v>3.34351396910671E-3</v>
          </cell>
          <cell r="F432">
            <v>3.4105003623383077E-3</v>
          </cell>
          <cell r="G432">
            <v>3.4964794128499329E-3</v>
          </cell>
          <cell r="H432">
            <v>3.5497991512879416E-3</v>
          </cell>
          <cell r="I432">
            <v>4.5425586358571208E-3</v>
          </cell>
          <cell r="J432">
            <v>2.5954656072908178E-3</v>
          </cell>
        </row>
        <row r="433">
          <cell r="B433" t="str">
            <v>HPLOIL</v>
          </cell>
          <cell r="C433" t="str">
            <v>VAR_fout</v>
          </cell>
          <cell r="D433" t="str">
            <v>LTH</v>
          </cell>
          <cell r="E433">
            <v>0.18410975696952658</v>
          </cell>
          <cell r="F433">
            <v>0.18580573252624785</v>
          </cell>
          <cell r="G433">
            <v>5.0488874074197743E-3</v>
          </cell>
          <cell r="H433">
            <v>2.8782630984045909E-4</v>
          </cell>
          <cell r="I433">
            <v>7.7038995163725545E-5</v>
          </cell>
          <cell r="J433">
            <v>7.3755182260899318E-6</v>
          </cell>
        </row>
        <row r="434">
          <cell r="B434" t="str">
            <v>HPLOIL</v>
          </cell>
          <cell r="C434" t="str">
            <v>VAR_fout</v>
          </cell>
          <cell r="D434" t="str">
            <v>CO2_E</v>
          </cell>
          <cell r="E434">
            <v>15.880167957592199</v>
          </cell>
          <cell r="F434">
            <v>16.0264523106651</v>
          </cell>
          <cell r="G434">
            <v>0.43548577407588901</v>
          </cell>
          <cell r="H434">
            <v>2.48261157806915E-2</v>
          </cell>
          <cell r="I434">
            <v>6.64490683503854E-3</v>
          </cell>
          <cell r="J434">
            <v>6.3616654615418597E-4</v>
          </cell>
        </row>
        <row r="435">
          <cell r="B435" t="str">
            <v>HPLOIL</v>
          </cell>
          <cell r="C435" t="str">
            <v>VAR_fin</v>
          </cell>
          <cell r="D435" t="str">
            <v>ELFO</v>
          </cell>
          <cell r="E435">
            <v>0.21547039291169809</v>
          </cell>
          <cell r="F435">
            <v>0.21745525523290485</v>
          </cell>
          <cell r="G435">
            <v>5.9088978843404114E-3</v>
          </cell>
          <cell r="H435">
            <v>3.3685367409350792E-4</v>
          </cell>
          <cell r="I435">
            <v>9.0161558141635563E-5</v>
          </cell>
          <cell r="J435">
            <v>8.6318391608437683E-6</v>
          </cell>
        </row>
        <row r="436">
          <cell r="B436" t="str">
            <v>HPLOIL</v>
          </cell>
          <cell r="C436" t="str">
            <v>VAR_ncap</v>
          </cell>
          <cell r="D436" t="str">
            <v>-</v>
          </cell>
          <cell r="E436">
            <v>4.99085489795363E-5</v>
          </cell>
          <cell r="F436">
            <v>3.0828091721903602E-5</v>
          </cell>
          <cell r="G436">
            <v>2.7874211939407299E-5</v>
          </cell>
          <cell r="H436">
            <v>2.5960168656246601E-5</v>
          </cell>
          <cell r="I436">
            <v>6.9644697798173694E-5</v>
          </cell>
          <cell r="J436">
            <v>2.06673759190952E-5</v>
          </cell>
        </row>
        <row r="437">
          <cell r="B437" t="str">
            <v>HPLOIL</v>
          </cell>
          <cell r="C437" t="str">
            <v>VAR_cap</v>
          </cell>
          <cell r="D437" t="str">
            <v>-</v>
          </cell>
          <cell r="E437">
            <v>2.6676784719730836E-2</v>
          </cell>
          <cell r="F437">
            <v>2.391364914234374E-2</v>
          </cell>
          <cell r="G437">
            <v>5.2097675608822475E-3</v>
          </cell>
          <cell r="H437">
            <v>2.2039831605666915E-3</v>
          </cell>
          <cell r="I437">
            <v>9.5891977468883774E-4</v>
          </cell>
          <cell r="J437">
            <v>7.5411852796228589E-4</v>
          </cell>
        </row>
        <row r="438">
          <cell r="B438" t="str">
            <v>V2G</v>
          </cell>
          <cell r="C438" t="str">
            <v>VAR_fout</v>
          </cell>
          <cell r="D438" t="str">
            <v>ELC35</v>
          </cell>
          <cell r="E438"/>
          <cell r="F438"/>
          <cell r="G438"/>
          <cell r="H438">
            <v>0.16556348545801849</v>
          </cell>
          <cell r="I438">
            <v>0.53601827410793135</v>
          </cell>
          <cell r="J438">
            <v>1.7477047059991038</v>
          </cell>
        </row>
        <row r="439">
          <cell r="B439" t="str">
            <v>V2G</v>
          </cell>
          <cell r="C439" t="str">
            <v>VAR_fin</v>
          </cell>
          <cell r="D439" t="str">
            <v>T-ELC-Bus_c_BatSTGout_S1</v>
          </cell>
          <cell r="E439"/>
          <cell r="F439"/>
          <cell r="G439"/>
          <cell r="H439">
            <v>3.3430831540071332E-3</v>
          </cell>
          <cell r="I439">
            <v>6.0427919765702375E-3</v>
          </cell>
          <cell r="J439">
            <v>2.1870568357988422E-3</v>
          </cell>
        </row>
        <row r="440">
          <cell r="B440" t="str">
            <v>V2G</v>
          </cell>
          <cell r="C440" t="str">
            <v>VAR_fin</v>
          </cell>
          <cell r="D440" t="str">
            <v>T-ELC-Bus_c_BatSTGout_S2</v>
          </cell>
          <cell r="E440"/>
          <cell r="F440"/>
          <cell r="G440"/>
          <cell r="H440">
            <v>3.5217794423219886E-3</v>
          </cell>
          <cell r="I440">
            <v>7.1404357003435597E-3</v>
          </cell>
          <cell r="J440">
            <v>2.6046462651628712E-3</v>
          </cell>
        </row>
        <row r="441">
          <cell r="B441" t="str">
            <v>V2G</v>
          </cell>
          <cell r="C441" t="str">
            <v>VAR_fin</v>
          </cell>
          <cell r="D441" t="str">
            <v>T-ELC-Bus_c_BatSTGout_S3</v>
          </cell>
          <cell r="E441"/>
          <cell r="F441"/>
          <cell r="G441"/>
          <cell r="H441">
            <v>1.9320036208010915E-4</v>
          </cell>
          <cell r="I441">
            <v>3.2198130516808824E-3</v>
          </cell>
          <cell r="J441">
            <v>1.3891732982919507E-3</v>
          </cell>
        </row>
        <row r="442">
          <cell r="B442" t="str">
            <v>V2G</v>
          </cell>
          <cell r="C442" t="str">
            <v>VAR_fin</v>
          </cell>
          <cell r="D442" t="str">
            <v>T-ELC-Bus_c_BatSTGout_S4</v>
          </cell>
          <cell r="E442"/>
          <cell r="F442"/>
          <cell r="G442"/>
          <cell r="H442">
            <v>3.0421725649046734E-4</v>
          </cell>
          <cell r="I442">
            <v>7.3191614871550474E-4</v>
          </cell>
          <cell r="J442">
            <v>4.1434214136913216E-4</v>
          </cell>
        </row>
        <row r="443">
          <cell r="B443" t="str">
            <v>V2G</v>
          </cell>
          <cell r="C443" t="str">
            <v>VAR_fin</v>
          </cell>
          <cell r="D443" t="str">
            <v>T-ELC-car-BatSTGOut_S1</v>
          </cell>
          <cell r="E443"/>
          <cell r="F443"/>
          <cell r="G443"/>
          <cell r="H443">
            <v>4.7989789843655282E-2</v>
          </cell>
          <cell r="I443">
            <v>2.8767341991151885E-2</v>
          </cell>
          <cell r="J443">
            <v>0.34258232198251487</v>
          </cell>
        </row>
        <row r="444">
          <cell r="B444" t="str">
            <v>V2G</v>
          </cell>
          <cell r="C444" t="str">
            <v>VAR_fin</v>
          </cell>
          <cell r="D444" t="str">
            <v>T-ELC-car-BatSTGOut_S2</v>
          </cell>
          <cell r="E444"/>
          <cell r="F444"/>
          <cell r="G444"/>
          <cell r="H444">
            <v>2.2789625272602216E-2</v>
          </cell>
          <cell r="I444">
            <v>8.7681676236574829E-2</v>
          </cell>
          <cell r="J444">
            <v>0.24774509529420802</v>
          </cell>
        </row>
        <row r="445">
          <cell r="B445" t="str">
            <v>V2G</v>
          </cell>
          <cell r="C445" t="str">
            <v>VAR_fin</v>
          </cell>
          <cell r="D445" t="str">
            <v>T-ELC-car-BatSTGOut_S3</v>
          </cell>
          <cell r="E445"/>
          <cell r="F445"/>
          <cell r="G445"/>
          <cell r="H445">
            <v>1.5394409923312865E-2</v>
          </cell>
          <cell r="I445">
            <v>9.0972360491072227E-2</v>
          </cell>
          <cell r="J445">
            <v>0.24583935914177621</v>
          </cell>
        </row>
        <row r="446">
          <cell r="B446" t="str">
            <v>V2G</v>
          </cell>
          <cell r="C446" t="str">
            <v>VAR_fin</v>
          </cell>
          <cell r="D446" t="str">
            <v>T-ELC-car-BatSTGOut_S4</v>
          </cell>
          <cell r="E446"/>
          <cell r="F446"/>
          <cell r="G446"/>
          <cell r="H446">
            <v>1.7231928133076245E-2</v>
          </cell>
          <cell r="I446">
            <v>8.8550198548211473E-2</v>
          </cell>
          <cell r="J446">
            <v>0.25371465568394569</v>
          </cell>
        </row>
        <row r="447">
          <cell r="B447" t="str">
            <v>V2G</v>
          </cell>
          <cell r="C447" t="str">
            <v>VAR_fin</v>
          </cell>
          <cell r="D447" t="str">
            <v>T-ELC-car-PlgSTGOut_S1</v>
          </cell>
          <cell r="H447">
            <v>8.5952516538831782E-4</v>
          </cell>
          <cell r="I447">
            <v>2.3126608472840214E-3</v>
          </cell>
          <cell r="J447">
            <v>1.7385427631102404E-3</v>
          </cell>
        </row>
        <row r="448">
          <cell r="B448" t="str">
            <v>V2G</v>
          </cell>
          <cell r="C448" t="str">
            <v>VAR_fin</v>
          </cell>
          <cell r="D448" t="str">
            <v>T-ELC-car-PlgSTGOut_S2</v>
          </cell>
          <cell r="H448">
            <v>6.1808509314200766E-4</v>
          </cell>
          <cell r="I448">
            <v>3.2314796916103391E-3</v>
          </cell>
          <cell r="J448">
            <v>3.3290787055248938E-3</v>
          </cell>
        </row>
        <row r="449">
          <cell r="B449" t="str">
            <v>V2G</v>
          </cell>
          <cell r="C449" t="str">
            <v>VAR_fin</v>
          </cell>
          <cell r="D449" t="str">
            <v>T-ELC-car-PlgSTGOut_S3</v>
          </cell>
          <cell r="H449">
            <v>2.0034717108254243E-2</v>
          </cell>
          <cell r="I449">
            <v>0.12314066583633297</v>
          </cell>
          <cell r="J449">
            <v>0.5512761238888001</v>
          </cell>
        </row>
        <row r="450">
          <cell r="B450" t="str">
            <v>V2G</v>
          </cell>
          <cell r="C450" t="str">
            <v>VAR_fin</v>
          </cell>
          <cell r="D450" t="str">
            <v>T-ELC-TWSTGout_S1</v>
          </cell>
          <cell r="H450">
            <v>5.5292817592106965E-3</v>
          </cell>
          <cell r="I450">
            <v>1.7927886107869727E-3</v>
          </cell>
          <cell r="J450">
            <v>2.0794557741233878E-3</v>
          </cell>
        </row>
        <row r="451">
          <cell r="B451" t="str">
            <v>V2G</v>
          </cell>
          <cell r="C451" t="str">
            <v>VAR_fin</v>
          </cell>
          <cell r="D451" t="str">
            <v>T-ELC-car-PlgSTGOut_S4</v>
          </cell>
          <cell r="H451">
            <v>2.7548208033341306E-4</v>
          </cell>
          <cell r="I451">
            <v>5.2234189379677977E-3</v>
          </cell>
          <cell r="J451">
            <v>2.6084600904703482E-3</v>
          </cell>
        </row>
        <row r="452">
          <cell r="B452" t="str">
            <v>V2G</v>
          </cell>
          <cell r="C452" t="str">
            <v>VAR_fin</v>
          </cell>
          <cell r="D452" t="str">
            <v>T-ELC-TWSTGout_S2</v>
          </cell>
          <cell r="H452">
            <v>7.2315208061217995E-3</v>
          </cell>
          <cell r="I452">
            <v>7.7696647030631527E-3</v>
          </cell>
          <cell r="J452">
            <v>5.2125107429335585E-3</v>
          </cell>
        </row>
        <row r="453">
          <cell r="B453" t="str">
            <v>V2G</v>
          </cell>
          <cell r="C453" t="str">
            <v>VAR_fin</v>
          </cell>
          <cell r="D453" t="str">
            <v>T-ELC-TWSTGout_S3</v>
          </cell>
          <cell r="H453">
            <v>8.4312957413396443E-3</v>
          </cell>
          <cell r="I453">
            <v>1.3720390327398031E-2</v>
          </cell>
          <cell r="J453">
            <v>8.0064977491356194E-3</v>
          </cell>
        </row>
        <row r="454">
          <cell r="B454" t="str">
            <v>V2G</v>
          </cell>
          <cell r="C454" t="str">
            <v>VAR_fin</v>
          </cell>
          <cell r="D454" t="str">
            <v>T-ELC-TWSTGout_S4</v>
          </cell>
          <cell r="H454">
            <v>8.6217518793335283E-3</v>
          </cell>
          <cell r="I454">
            <v>1.5420496213523247E-2</v>
          </cell>
          <cell r="J454">
            <v>1.2267004912176128E-2</v>
          </cell>
        </row>
        <row r="455">
          <cell r="B455" t="str">
            <v>V2G</v>
          </cell>
          <cell r="C455" t="str">
            <v>VAR_fin</v>
          </cell>
          <cell r="D455" t="str">
            <v>T-ELC-Bus_u_BatSTGout_S1</v>
          </cell>
          <cell r="H455">
            <v>2.6514795203127226E-4</v>
          </cell>
          <cell r="I455">
            <v>3.6114564032566765E-4</v>
          </cell>
          <cell r="J455">
            <v>2.7868873130510856E-4</v>
          </cell>
        </row>
        <row r="456">
          <cell r="B456" t="str">
            <v>V2G</v>
          </cell>
          <cell r="C456" t="str">
            <v>VAR_fin</v>
          </cell>
          <cell r="D456" t="str">
            <v>T-ELC-Bus_u_BatSTGout_S2</v>
          </cell>
          <cell r="H456">
            <v>2.5519586576067615E-4</v>
          </cell>
          <cell r="I456">
            <v>3.3946022550645057E-4</v>
          </cell>
          <cell r="J456">
            <v>2.5602774361186309E-4</v>
          </cell>
        </row>
        <row r="457">
          <cell r="B457" t="str">
            <v>V2G</v>
          </cell>
          <cell r="C457" t="str">
            <v>VAR_fin</v>
          </cell>
          <cell r="D457" t="str">
            <v>T-ELC-Bus_u_BatSTGout_S3</v>
          </cell>
          <cell r="H457">
            <v>1.1360110569234339E-4</v>
          </cell>
          <cell r="I457">
            <v>1.5047803630047787E-4</v>
          </cell>
          <cell r="J457">
            <v>1.2908215332806168E-4</v>
          </cell>
        </row>
        <row r="458">
          <cell r="B458" t="str">
            <v>V2G</v>
          </cell>
          <cell r="C458" t="str">
            <v>VAR_fin</v>
          </cell>
          <cell r="D458" t="str">
            <v>T-ELC-Bus_u_BatSTGout_S4</v>
          </cell>
          <cell r="H458">
            <v>2.9339780488841187E-4</v>
          </cell>
          <cell r="I458">
            <v>6.0235345001941846E-4</v>
          </cell>
          <cell r="J458">
            <v>4.0862235905916053E-4</v>
          </cell>
        </row>
        <row r="459">
          <cell r="B459" t="str">
            <v>V2G</v>
          </cell>
          <cell r="C459" t="str">
            <v>VAR_fin</v>
          </cell>
          <cell r="D459" t="str">
            <v>T-ELC-LGV_BatSTGout</v>
          </cell>
          <cell r="H459">
            <v>1.0730105012518949E-3</v>
          </cell>
          <cell r="I459">
            <v>8.6194858967957554E-4</v>
          </cell>
          <cell r="J459">
            <v>6.1376705752819996E-4</v>
          </cell>
        </row>
        <row r="460">
          <cell r="B460" t="str">
            <v>V2G</v>
          </cell>
          <cell r="C460" t="str">
            <v>VAR_fin</v>
          </cell>
          <cell r="D460" t="str">
            <v>T-ELC-HGV_BatSTGout</v>
          </cell>
          <cell r="H460">
            <v>1.4375522804046189E-3</v>
          </cell>
          <cell r="I460">
            <v>4.8215348661663028E-2</v>
          </cell>
          <cell r="J460">
            <v>6.3204728520606365E-2</v>
          </cell>
        </row>
        <row r="461">
          <cell r="B461" t="str">
            <v>V2G</v>
          </cell>
          <cell r="C461" t="str">
            <v>VAR_ncap</v>
          </cell>
          <cell r="D461" t="str">
            <v>-</v>
          </cell>
          <cell r="H461">
            <v>1.5558600446549199E-2</v>
          </cell>
          <cell r="I461">
            <v>1.65750709755686</v>
          </cell>
          <cell r="J461">
            <v>3.4241622206200999</v>
          </cell>
        </row>
        <row r="462">
          <cell r="B462" t="str">
            <v>V2G</v>
          </cell>
          <cell r="C462" t="str">
            <v>VAR_cap</v>
          </cell>
          <cell r="D462" t="str">
            <v>-</v>
          </cell>
          <cell r="H462">
            <v>1.5558600446549199E-2</v>
          </cell>
          <cell r="I462">
            <v>1.8027251698307794</v>
          </cell>
          <cell r="J462">
            <v>4.6840041135660728</v>
          </cell>
        </row>
        <row r="463">
          <cell r="B463" t="str">
            <v>D-EBIO</v>
          </cell>
          <cell r="C463" t="str">
            <v>VAR_fout</v>
          </cell>
          <cell r="D463" t="str">
            <v>EBIO</v>
          </cell>
          <cell r="E463">
            <v>1.1840099374372226</v>
          </cell>
          <cell r="F463">
            <v>1.183963901909757</v>
          </cell>
          <cell r="G463">
            <v>1.1840158338447899</v>
          </cell>
          <cell r="H463">
            <v>1.6362432907874476</v>
          </cell>
          <cell r="I463">
            <v>1.6362299306370638</v>
          </cell>
          <cell r="J463">
            <v>1.6362093946674612</v>
          </cell>
        </row>
        <row r="464">
          <cell r="B464" t="str">
            <v>D-EBIO</v>
          </cell>
          <cell r="C464" t="str">
            <v>VAR_fin</v>
          </cell>
          <cell r="D464" t="str">
            <v>BIO</v>
          </cell>
          <cell r="E464">
            <v>1.1840099374372226</v>
          </cell>
          <cell r="F464">
            <v>1.183963901909757</v>
          </cell>
          <cell r="G464">
            <v>1.1840158338447899</v>
          </cell>
          <cell r="H464">
            <v>1.6362432907874476</v>
          </cell>
          <cell r="I464">
            <v>1.6362299306370638</v>
          </cell>
          <cell r="J464">
            <v>1.6362093946674612</v>
          </cell>
        </row>
        <row r="465">
          <cell r="B465" t="str">
            <v>G-INTC3</v>
          </cell>
          <cell r="C465" t="str">
            <v>VAR_fout</v>
          </cell>
          <cell r="D465" t="str">
            <v>ELC35</v>
          </cell>
          <cell r="E465">
            <v>145.06040290534781</v>
          </cell>
          <cell r="F465">
            <v>106.46871088549902</v>
          </cell>
          <cell r="G465">
            <v>96.46401315485808</v>
          </cell>
          <cell r="H465">
            <v>126.46245035739385</v>
          </cell>
          <cell r="I465">
            <v>104.04860954109969</v>
          </cell>
          <cell r="J465">
            <v>68.117131242319658</v>
          </cell>
        </row>
        <row r="466">
          <cell r="B466" t="str">
            <v>G-INTC3</v>
          </cell>
          <cell r="C466" t="str">
            <v>VAR_fout</v>
          </cell>
          <cell r="D466" t="str">
            <v>ELC3</v>
          </cell>
          <cell r="E466">
            <v>30.814833220855082</v>
          </cell>
          <cell r="F466">
            <v>68.835703404061746</v>
          </cell>
          <cell r="G466">
            <v>68.063680085534756</v>
          </cell>
          <cell r="H466">
            <v>37.455337694989971</v>
          </cell>
          <cell r="I466">
            <v>57.975997765893261</v>
          </cell>
          <cell r="J466">
            <v>48.133729508987628</v>
          </cell>
        </row>
        <row r="467">
          <cell r="B467" t="str">
            <v>G-INTC3</v>
          </cell>
          <cell r="C467" t="str">
            <v>VAR_fout</v>
          </cell>
          <cell r="D467" t="str">
            <v>ELC</v>
          </cell>
          <cell r="E467">
            <v>5.3372111810952305E-2</v>
          </cell>
          <cell r="F467">
            <v>5.7013502529780855E-3</v>
          </cell>
          <cell r="G467">
            <v>9.0750447753889518E-3</v>
          </cell>
          <cell r="H467">
            <v>6.7708766728101152E-3</v>
          </cell>
          <cell r="I467">
            <v>7.1696263869012848E-4</v>
          </cell>
          <cell r="J467">
            <v>1.4969523437135503</v>
          </cell>
        </row>
        <row r="468">
          <cell r="B468" t="str">
            <v>G-INTC3</v>
          </cell>
          <cell r="C468" t="str">
            <v>VAR_fin</v>
          </cell>
          <cell r="D468" t="str">
            <v>ELC13</v>
          </cell>
          <cell r="E468">
            <v>179.61406908200166</v>
          </cell>
          <cell r="F468">
            <v>183.57195640847888</v>
          </cell>
          <cell r="G468">
            <v>171.72476089373743</v>
          </cell>
          <cell r="H468">
            <v>170.15398220542735</v>
          </cell>
          <cell r="I468">
            <v>166.3701560863515</v>
          </cell>
          <cell r="J468">
            <v>119.61641618849347</v>
          </cell>
        </row>
        <row r="469">
          <cell r="B469" t="str">
            <v>G-INTC3</v>
          </cell>
          <cell r="C469" t="str">
            <v>VAR_ncap</v>
          </cell>
          <cell r="D469" t="str">
            <v>-</v>
          </cell>
          <cell r="E469">
            <v>1.11978096334577E-7</v>
          </cell>
          <cell r="F469">
            <v>1.12021763661457E-7</v>
          </cell>
          <cell r="G469">
            <v>1.08620055621559E-7</v>
          </cell>
          <cell r="H469">
            <v>1.06444781834458E-7</v>
          </cell>
          <cell r="I469">
            <v>1.0163927242691799E-7</v>
          </cell>
          <cell r="J469">
            <v>3.2573659284636101E-7</v>
          </cell>
        </row>
        <row r="470">
          <cell r="B470" t="str">
            <v>G-INTC3</v>
          </cell>
          <cell r="C470" t="str">
            <v>VAR_cap</v>
          </cell>
          <cell r="D470" t="str">
            <v>-</v>
          </cell>
          <cell r="E470">
            <v>13.914190167241101</v>
          </cell>
          <cell r="F470">
            <v>13.914190167241101</v>
          </cell>
          <cell r="G470">
            <v>13.914190167241101</v>
          </cell>
          <cell r="H470">
            <v>13.914190274499825</v>
          </cell>
          <cell r="I470">
            <v>13.914190606305798</v>
          </cell>
          <cell r="J470">
            <v>13.914190806634913</v>
          </cell>
        </row>
        <row r="471">
          <cell r="B471" t="str">
            <v>HPLBIO</v>
          </cell>
          <cell r="C471" t="str">
            <v>VAR_fout</v>
          </cell>
          <cell r="D471" t="str">
            <v>LTH</v>
          </cell>
          <cell r="E471">
            <v>0.90181994839326141</v>
          </cell>
          <cell r="F471">
            <v>0.90178488470359808</v>
          </cell>
          <cell r="G471">
            <v>0.90182443948560775</v>
          </cell>
          <cell r="H471">
            <v>1.2462706548313867</v>
          </cell>
          <cell r="I471">
            <v>1.2462604788609417</v>
          </cell>
          <cell r="J471">
            <v>1.2462448373139736</v>
          </cell>
        </row>
        <row r="472">
          <cell r="B472" t="str">
            <v>HPLBIO</v>
          </cell>
          <cell r="C472" t="str">
            <v>VAR_fin</v>
          </cell>
          <cell r="D472" t="str">
            <v>EBIO</v>
          </cell>
          <cell r="E472">
            <v>1.1840099374372226</v>
          </cell>
          <cell r="F472">
            <v>1.183963901909757</v>
          </cell>
          <cell r="G472">
            <v>1.1840158338447899</v>
          </cell>
          <cell r="H472">
            <v>1.6362432907874476</v>
          </cell>
          <cell r="I472">
            <v>1.6362299306370638</v>
          </cell>
          <cell r="J472">
            <v>1.6362093946674612</v>
          </cell>
        </row>
        <row r="473">
          <cell r="B473" t="str">
            <v>HPLBIO</v>
          </cell>
          <cell r="C473" t="str">
            <v>VAR_ncap</v>
          </cell>
          <cell r="D473" t="str">
            <v>-</v>
          </cell>
          <cell r="E473">
            <v>7.5853735675619104E-5</v>
          </cell>
          <cell r="F473">
            <v>3.9908635887791497E-5</v>
          </cell>
          <cell r="G473">
            <v>2.92131716076616E-5</v>
          </cell>
          <cell r="H473">
            <v>0.10653708220383599</v>
          </cell>
          <cell r="I473">
            <v>1.3477201514113099E-4</v>
          </cell>
          <cell r="J473">
            <v>8.9899245741392797E-2</v>
          </cell>
        </row>
        <row r="474">
          <cell r="B474" t="str">
            <v>HPLBIO</v>
          </cell>
          <cell r="C474" t="str">
            <v>VAR_cap</v>
          </cell>
          <cell r="D474" t="str">
            <v>-</v>
          </cell>
          <cell r="E474">
            <v>0.11444974524296386</v>
          </cell>
          <cell r="F474">
            <v>0.11447422597946373</v>
          </cell>
          <cell r="G474">
            <v>0.11449012423710099</v>
          </cell>
          <cell r="H474">
            <v>0.15808613418185283</v>
          </cell>
          <cell r="I474">
            <v>0.15815625980919976</v>
          </cell>
          <cell r="J474">
            <v>0.15872598324265358</v>
          </cell>
        </row>
        <row r="475">
          <cell r="B475" t="str">
            <v>CHPGFC</v>
          </cell>
          <cell r="C475" t="str">
            <v>VAR_fout</v>
          </cell>
          <cell r="D475" t="str">
            <v>ELC35</v>
          </cell>
          <cell r="I475">
            <v>0.29386556210499926</v>
          </cell>
          <cell r="J475">
            <v>1.2502011015444261E-4</v>
          </cell>
        </row>
        <row r="476">
          <cell r="B476" t="str">
            <v>CHPGFC</v>
          </cell>
          <cell r="C476" t="str">
            <v>VAR_fout</v>
          </cell>
          <cell r="D476" t="str">
            <v>LTH</v>
          </cell>
          <cell r="I476">
            <v>0.37467859168387402</v>
          </cell>
          <cell r="J476">
            <v>1.6565164595463652E-4</v>
          </cell>
        </row>
        <row r="477">
          <cell r="B477" t="str">
            <v>CHPGFC</v>
          </cell>
          <cell r="C477" t="str">
            <v>VAR_fout</v>
          </cell>
          <cell r="D477" t="str">
            <v>CO2_E</v>
          </cell>
          <cell r="I477">
            <v>41.4350442568049</v>
          </cell>
          <cell r="J477">
            <v>1.7627835531776399E-2</v>
          </cell>
        </row>
        <row r="478">
          <cell r="B478" t="str">
            <v>CHPGFC</v>
          </cell>
          <cell r="C478" t="str">
            <v>VAR_fin</v>
          </cell>
          <cell r="D478" t="str">
            <v>ENGA</v>
          </cell>
          <cell r="I478">
            <v>0.73466390526249825</v>
          </cell>
          <cell r="J478">
            <v>3.1255027538610669E-4</v>
          </cell>
        </row>
        <row r="479">
          <cell r="B479" t="str">
            <v>CHPGFC</v>
          </cell>
          <cell r="C479" t="str">
            <v>VAR_ncap</v>
          </cell>
          <cell r="D479" t="str">
            <v>-</v>
          </cell>
          <cell r="I479">
            <v>1.0964637484447501E-2</v>
          </cell>
          <cell r="J479">
            <v>2.2812350547867599E-7</v>
          </cell>
        </row>
        <row r="480">
          <cell r="B480" t="str">
            <v>CHPGFC</v>
          </cell>
          <cell r="C480" t="str">
            <v>VAR_cap</v>
          </cell>
          <cell r="D480" t="str">
            <v>-</v>
          </cell>
          <cell r="I480">
            <v>1.0964637484447501E-2</v>
          </cell>
          <cell r="J480">
            <v>4.2100946525899102E-5</v>
          </cell>
        </row>
        <row r="481">
          <cell r="B481" t="str">
            <v>G-INTC5</v>
          </cell>
          <cell r="C481" t="str">
            <v>VAR_fout</v>
          </cell>
          <cell r="D481" t="str">
            <v>ELC5</v>
          </cell>
          <cell r="E481">
            <v>249.24811310626259</v>
          </cell>
          <cell r="F481">
            <v>120.8612078818273</v>
          </cell>
          <cell r="G481">
            <v>112.5502325952999</v>
          </cell>
          <cell r="H481">
            <v>141.53284116457621</v>
          </cell>
          <cell r="I481">
            <v>119.16020226723961</v>
          </cell>
          <cell r="J481">
            <v>88.270613310088066</v>
          </cell>
        </row>
        <row r="482">
          <cell r="B482" t="str">
            <v>G-INTC5</v>
          </cell>
          <cell r="C482" t="str">
            <v>VAR_fout</v>
          </cell>
          <cell r="D482" t="str">
            <v>ELC13</v>
          </cell>
          <cell r="E482">
            <v>0.23181531603060154</v>
          </cell>
          <cell r="F482">
            <v>5.1008907803665043E-3</v>
          </cell>
          <cell r="G482">
            <v>8.3863351395567342E-3</v>
          </cell>
          <cell r="H482">
            <v>7.5403681471930281E-3</v>
          </cell>
          <cell r="I482">
            <v>4.4387636715910342E-4</v>
          </cell>
          <cell r="J482">
            <v>0.55727767152270868</v>
          </cell>
        </row>
        <row r="483">
          <cell r="B483" t="str">
            <v>G-INTC5</v>
          </cell>
          <cell r="C483" t="str">
            <v>VAR_fin</v>
          </cell>
          <cell r="D483" t="str">
            <v>ELC35</v>
          </cell>
          <cell r="E483">
            <v>257.35943745829439</v>
          </cell>
          <cell r="F483">
            <v>126.58245299426372</v>
          </cell>
          <cell r="G483">
            <v>117.62596645620786</v>
          </cell>
          <cell r="H483">
            <v>147.37928191310348</v>
          </cell>
          <cell r="I483">
            <v>123.18816290005127</v>
          </cell>
          <cell r="J483">
            <v>91.177522807978391</v>
          </cell>
        </row>
        <row r="484">
          <cell r="B484" t="str">
            <v>G-INTC5</v>
          </cell>
          <cell r="C484" t="str">
            <v>VAR_ncap</v>
          </cell>
          <cell r="D484" t="str">
            <v>-</v>
          </cell>
          <cell r="E484">
            <v>1.5796184176533601E-7</v>
          </cell>
          <cell r="F484">
            <v>1.5420708854838901E-7</v>
          </cell>
          <cell r="G484">
            <v>1.4298882199309801E-7</v>
          </cell>
          <cell r="H484">
            <v>1.39342535182819E-7</v>
          </cell>
          <cell r="I484">
            <v>1.1494523904392501E-7</v>
          </cell>
          <cell r="J484">
            <v>3.4867707479567199E-7</v>
          </cell>
        </row>
        <row r="485">
          <cell r="B485" t="str">
            <v>G-INTC5</v>
          </cell>
          <cell r="C485" t="str">
            <v>VAR_cap</v>
          </cell>
          <cell r="D485" t="str">
            <v>-</v>
          </cell>
          <cell r="E485">
            <v>12.649263788401001</v>
          </cell>
          <cell r="F485">
            <v>12.649263788401001</v>
          </cell>
          <cell r="G485">
            <v>12.649263788401001</v>
          </cell>
          <cell r="H485">
            <v>12.649263938150275</v>
          </cell>
          <cell r="I485">
            <v>12.649264382901288</v>
          </cell>
          <cell r="J485">
            <v>12.649264601508007</v>
          </cell>
        </row>
        <row r="486">
          <cell r="B486" t="str">
            <v>D-SLFO</v>
          </cell>
          <cell r="C486" t="str">
            <v>VAR_fout</v>
          </cell>
          <cell r="D486" t="str">
            <v>CO2</v>
          </cell>
          <cell r="E486">
            <v>2267.78912645133</v>
          </cell>
          <cell r="F486">
            <v>1754.7395412978101</v>
          </cell>
          <cell r="G486">
            <v>1888.8421584524799</v>
          </cell>
          <cell r="H486">
            <v>944.88033551678905</v>
          </cell>
          <cell r="I486">
            <v>186.25898926752899</v>
          </cell>
          <cell r="J486">
            <v>3.2268183876407899E-3</v>
          </cell>
        </row>
        <row r="487">
          <cell r="B487" t="str">
            <v>D-SLFO</v>
          </cell>
          <cell r="C487" t="str">
            <v>VAR_fout</v>
          </cell>
          <cell r="D487" t="str">
            <v>SLFO</v>
          </cell>
          <cell r="E487">
            <v>30.256640504322231</v>
          </cell>
          <cell r="F487">
            <v>23.411578643049197</v>
          </cell>
          <cell r="G487">
            <v>25.200889123343046</v>
          </cell>
          <cell r="H487">
            <v>12.607443887257443</v>
          </cell>
          <cell r="I487">
            <v>2.4859322538251218</v>
          </cell>
          <cell r="J487">
            <v>6.980165995608259E-2</v>
          </cell>
        </row>
        <row r="488">
          <cell r="B488" t="str">
            <v>D-SLFO</v>
          </cell>
          <cell r="C488" t="str">
            <v>VAR_fin</v>
          </cell>
          <cell r="D488" t="str">
            <v>LFO</v>
          </cell>
          <cell r="E488">
            <v>30.770544456598756</v>
          </cell>
          <cell r="F488">
            <v>23.809220370390907</v>
          </cell>
          <cell r="G488">
            <v>25.628794551594044</v>
          </cell>
          <cell r="H488">
            <v>12.820628704434048</v>
          </cell>
          <cell r="I488">
            <v>2.5272590131279364</v>
          </cell>
          <cell r="J488">
            <v>4.3783153156591451E-5</v>
          </cell>
        </row>
        <row r="489">
          <cell r="B489" t="str">
            <v>D-SLFO</v>
          </cell>
          <cell r="C489" t="str">
            <v>VAR_fin</v>
          </cell>
          <cell r="D489" t="str">
            <v>BDS</v>
          </cell>
          <cell r="G489">
            <v>1.2587812076851238E-4</v>
          </cell>
          <cell r="H489">
            <v>9.5364053403616355E-4</v>
          </cell>
          <cell r="I489">
            <v>9.026339889555042E-4</v>
          </cell>
          <cell r="J489">
            <v>7.0948388168574031E-2</v>
          </cell>
        </row>
        <row r="490">
          <cell r="B490" t="str">
            <v>D-RCOA</v>
          </cell>
          <cell r="C490" t="str">
            <v>VAR_fout</v>
          </cell>
          <cell r="D490" t="str">
            <v>CO2</v>
          </cell>
          <cell r="E490">
            <v>9.2711939547168996</v>
          </cell>
          <cell r="F490">
            <v>9.2705897384879403</v>
          </cell>
          <cell r="G490">
            <v>2.44202474489285</v>
          </cell>
        </row>
        <row r="491">
          <cell r="B491" t="str">
            <v>D-RCOA</v>
          </cell>
          <cell r="C491" t="str">
            <v>VAR_fout</v>
          </cell>
          <cell r="D491" t="str">
            <v>RCOA</v>
          </cell>
          <cell r="E491">
            <v>0.10001287977040883</v>
          </cell>
          <cell r="F491">
            <v>0.10000636179598643</v>
          </cell>
          <cell r="G491">
            <v>2.6343309006395383E-2</v>
          </cell>
        </row>
        <row r="492">
          <cell r="B492" t="str">
            <v>D-RCOA</v>
          </cell>
          <cell r="C492" t="str">
            <v>VAR_fin</v>
          </cell>
          <cell r="D492" t="str">
            <v>COA</v>
          </cell>
          <cell r="E492">
            <v>0.10001287977040883</v>
          </cell>
          <cell r="F492">
            <v>0.10000636179598643</v>
          </cell>
          <cell r="G492">
            <v>2.6343309006395383E-2</v>
          </cell>
        </row>
        <row r="493">
          <cell r="B493" t="str">
            <v>EHYD-RUN00</v>
          </cell>
          <cell r="C493" t="str">
            <v>VAR_fout</v>
          </cell>
          <cell r="D493" t="str">
            <v>ELC13</v>
          </cell>
          <cell r="E493">
            <v>54.392407985071237</v>
          </cell>
          <cell r="F493">
            <v>43.510206327422885</v>
          </cell>
          <cell r="G493">
            <v>53.266678582537729</v>
          </cell>
          <cell r="H493">
            <v>52.173243722802141</v>
          </cell>
          <cell r="I493">
            <v>49.982556194530666</v>
          </cell>
          <cell r="J493">
            <v>47.798941614754149</v>
          </cell>
        </row>
        <row r="494">
          <cell r="B494" t="str">
            <v>EHYD-RUN00</v>
          </cell>
          <cell r="C494" t="str">
            <v>VAR_fin</v>
          </cell>
          <cell r="D494" t="str">
            <v>HYDR</v>
          </cell>
          <cell r="E494">
            <v>54.392407985071237</v>
          </cell>
          <cell r="F494">
            <v>43.510206327422885</v>
          </cell>
          <cell r="G494">
            <v>53.266678582537729</v>
          </cell>
          <cell r="H494">
            <v>52.173243722802141</v>
          </cell>
          <cell r="I494">
            <v>49.982556194530666</v>
          </cell>
          <cell r="J494">
            <v>47.798941614754149</v>
          </cell>
        </row>
        <row r="495">
          <cell r="B495" t="str">
            <v>EHYD-RUN00</v>
          </cell>
          <cell r="C495" t="str">
            <v>VAR_cap</v>
          </cell>
          <cell r="D495" t="str">
            <v>-</v>
          </cell>
          <cell r="E495">
            <v>3.86687</v>
          </cell>
          <cell r="F495">
            <v>3.9240852000672399</v>
          </cell>
          <cell r="G495">
            <v>3.9610124303882599</v>
          </cell>
          <cell r="H495">
            <v>3.9647700000000001</v>
          </cell>
          <cell r="I495">
            <v>3.9647700000000001</v>
          </cell>
          <cell r="J495">
            <v>3.9647700000000001</v>
          </cell>
        </row>
        <row r="496">
          <cell r="B496" t="str">
            <v>HPLELCHP</v>
          </cell>
          <cell r="C496" t="str">
            <v>VAR_fout</v>
          </cell>
          <cell r="D496" t="str">
            <v>LTH</v>
          </cell>
          <cell r="F496">
            <v>2.9820628701870402</v>
          </cell>
          <cell r="G496">
            <v>3.07242446820878</v>
          </cell>
          <cell r="H496">
            <v>5.9377564455654017</v>
          </cell>
          <cell r="I496">
            <v>6.5589733484519934</v>
          </cell>
          <cell r="J496">
            <v>7.2451825577618036</v>
          </cell>
        </row>
        <row r="497">
          <cell r="B497" t="str">
            <v>HPLELCHP</v>
          </cell>
          <cell r="C497" t="str">
            <v>VAR_fin</v>
          </cell>
          <cell r="D497" t="str">
            <v>ELC35</v>
          </cell>
          <cell r="F497">
            <v>1.0282975414438067</v>
          </cell>
          <cell r="G497">
            <v>1.0594567131754415</v>
          </cell>
          <cell r="H497">
            <v>2.0475022226087605</v>
          </cell>
          <cell r="I497">
            <v>2.2617149477420675</v>
          </cell>
          <cell r="J497">
            <v>2.4983388130213089</v>
          </cell>
        </row>
        <row r="498">
          <cell r="B498" t="str">
            <v>HPLELCHP</v>
          </cell>
          <cell r="C498" t="str">
            <v>VAR_fin</v>
          </cell>
          <cell r="D498" t="str">
            <v>WWTPCC</v>
          </cell>
          <cell r="F498">
            <v>5.9641257403740804</v>
          </cell>
          <cell r="G498">
            <v>6.1448489364175503</v>
          </cell>
          <cell r="H498">
            <v>11.8755128911308</v>
          </cell>
          <cell r="I498">
            <v>13.117946696903999</v>
          </cell>
          <cell r="J498">
            <v>14.4903651155236</v>
          </cell>
        </row>
        <row r="499">
          <cell r="B499" t="str">
            <v>HPLELCHP</v>
          </cell>
          <cell r="C499" t="str">
            <v>VAR_ncap</v>
          </cell>
          <cell r="D499" t="str">
            <v>-</v>
          </cell>
          <cell r="F499">
            <v>0.183641767762796</v>
          </cell>
          <cell r="G499">
            <v>5.5658286380271598E-3</v>
          </cell>
          <cell r="H499">
            <v>0.17641586502182099</v>
          </cell>
          <cell r="I499">
            <v>0.10801974397959101</v>
          </cell>
          <cell r="J499">
            <v>0.27747039574027499</v>
          </cell>
        </row>
        <row r="500">
          <cell r="B500" t="str">
            <v>HPLELCHP</v>
          </cell>
          <cell r="C500" t="str">
            <v>VAR_cap</v>
          </cell>
          <cell r="D500" t="str">
            <v>-</v>
          </cell>
          <cell r="F500">
            <v>0.183641767762796</v>
          </cell>
          <cell r="G500">
            <v>0.18920751195435273</v>
          </cell>
          <cell r="H500">
            <v>0.36562330506168184</v>
          </cell>
          <cell r="I500">
            <v>0.40388481941653481</v>
          </cell>
          <cell r="J500">
            <v>0.44623674835293697</v>
          </cell>
        </row>
        <row r="501">
          <cell r="B501" t="str">
            <v>D-ITOT_LTH</v>
          </cell>
          <cell r="C501" t="str">
            <v>VAR_fout</v>
          </cell>
          <cell r="D501" t="str">
            <v>ITOT_LTH_DH</v>
          </cell>
          <cell r="E501">
            <v>7.1200232041811784</v>
          </cell>
          <cell r="F501">
            <v>7.6289113638024073</v>
          </cell>
          <cell r="G501">
            <v>7.3518867322310006</v>
          </cell>
          <cell r="H501">
            <v>6.4723824317686649</v>
          </cell>
          <cell r="I501">
            <v>5.8775069749167539</v>
          </cell>
          <cell r="J501">
            <v>5.3455061945330584</v>
          </cell>
        </row>
        <row r="502">
          <cell r="B502" t="str">
            <v>D-ITOT_LTH</v>
          </cell>
          <cell r="C502" t="str">
            <v>VAR_fin</v>
          </cell>
          <cell r="D502" t="str">
            <v>LTH</v>
          </cell>
          <cell r="E502">
            <v>7.7403609164067628</v>
          </cell>
          <cell r="F502">
            <v>8.2914067088949999</v>
          </cell>
          <cell r="G502">
            <v>7.9871765437101105</v>
          </cell>
          <cell r="H502">
            <v>7.0270575183004338</v>
          </cell>
          <cell r="I502">
            <v>6.3728364800149961</v>
          </cell>
          <cell r="J502">
            <v>5.7884127227353908</v>
          </cell>
        </row>
        <row r="503">
          <cell r="B503" t="str">
            <v>D-ITOT_LTH</v>
          </cell>
          <cell r="C503" t="str">
            <v>VAR_ncap</v>
          </cell>
          <cell r="D503" t="str">
            <v>-</v>
          </cell>
          <cell r="E503">
            <v>0.79547392229472003</v>
          </cell>
          <cell r="F503">
            <v>1.5389874409610199E-7</v>
          </cell>
          <cell r="G503">
            <v>1.7446080978173799E-7</v>
          </cell>
          <cell r="H503">
            <v>1.9943096302164699E-7</v>
          </cell>
          <cell r="I503">
            <v>2.5703292639886802E-7</v>
          </cell>
          <cell r="J503">
            <v>3.2523079116371201E-7</v>
          </cell>
        </row>
        <row r="504">
          <cell r="B504" t="str">
            <v>D-ITOT_LTH</v>
          </cell>
          <cell r="C504" t="str">
            <v>VAR_cap</v>
          </cell>
          <cell r="D504" t="str">
            <v>-</v>
          </cell>
          <cell r="E504">
            <v>0.79547392229472003</v>
          </cell>
          <cell r="F504">
            <v>0.795474076193464</v>
          </cell>
          <cell r="G504">
            <v>0.79547425065427402</v>
          </cell>
          <cell r="H504">
            <v>0.79547445008523698</v>
          </cell>
          <cell r="I504">
            <v>0.79547499463416005</v>
          </cell>
          <cell r="J504">
            <v>0.79547531986495101</v>
          </cell>
        </row>
        <row r="505">
          <cell r="B505" t="str">
            <v>D-IH2</v>
          </cell>
          <cell r="C505" t="str">
            <v>VAR_fout</v>
          </cell>
          <cell r="D505" t="str">
            <v>IH2</v>
          </cell>
          <cell r="I505">
            <v>0.25208751910301636</v>
          </cell>
          <cell r="J505">
            <v>1.8123410675196745</v>
          </cell>
        </row>
        <row r="506">
          <cell r="B506" t="str">
            <v>D-IH2</v>
          </cell>
          <cell r="C506" t="str">
            <v>VAR_fin</v>
          </cell>
          <cell r="D506" t="str">
            <v>H2</v>
          </cell>
          <cell r="I506">
            <v>0.25400801963812686</v>
          </cell>
          <cell r="J506">
            <v>1.8261481849936352</v>
          </cell>
        </row>
        <row r="507">
          <cell r="B507" t="str">
            <v>D-IH2</v>
          </cell>
          <cell r="C507" t="str">
            <v>VAR_ncap</v>
          </cell>
          <cell r="D507" t="str">
            <v>-</v>
          </cell>
          <cell r="H507">
            <v>1.7020253174046101E-6</v>
          </cell>
          <cell r="I507">
            <v>1.17599397737802E-2</v>
          </cell>
          <cell r="J507">
            <v>7.2711925584372797E-2</v>
          </cell>
        </row>
        <row r="508">
          <cell r="B508" t="str">
            <v>D-IH2</v>
          </cell>
          <cell r="C508" t="str">
            <v>VAR_cap</v>
          </cell>
          <cell r="D508" t="str">
            <v>-</v>
          </cell>
          <cell r="H508">
            <v>1.7020253174046101E-6</v>
          </cell>
          <cell r="I508">
            <v>2.28185431240483E-2</v>
          </cell>
          <cell r="J508">
            <v>9.5530468708421107E-2</v>
          </cell>
        </row>
        <row r="509">
          <cell r="B509" t="str">
            <v>RHEM-ESOLPV</v>
          </cell>
          <cell r="C509" t="str">
            <v>VAR_fout</v>
          </cell>
          <cell r="D509" t="str">
            <v>RHEM_SOL_ELC</v>
          </cell>
          <cell r="E509">
            <v>0.86248322578584768</v>
          </cell>
          <cell r="F509">
            <v>1.2875827463657756</v>
          </cell>
          <cell r="G509">
            <v>1.7710594136476387</v>
          </cell>
          <cell r="H509">
            <v>1.9195499265447384</v>
          </cell>
          <cell r="I509">
            <v>2.1204120702770379</v>
          </cell>
          <cell r="J509">
            <v>2.3422957729566241</v>
          </cell>
        </row>
        <row r="510">
          <cell r="B510" t="str">
            <v>RHEM-ESOLPV</v>
          </cell>
          <cell r="C510" t="str">
            <v>VAR_fin</v>
          </cell>
          <cell r="D510" t="str">
            <v>SOL</v>
          </cell>
          <cell r="E510">
            <v>0.86248322578584768</v>
          </cell>
          <cell r="F510">
            <v>1.2875827463657756</v>
          </cell>
          <cell r="G510">
            <v>1.7710594136476387</v>
          </cell>
          <cell r="H510">
            <v>1.9195499265447384</v>
          </cell>
          <cell r="I510">
            <v>2.1204120702770379</v>
          </cell>
          <cell r="J510">
            <v>2.3422957729566241</v>
          </cell>
        </row>
        <row r="511">
          <cell r="B511" t="str">
            <v>RHEM-ESOLPV</v>
          </cell>
          <cell r="C511" t="str">
            <v>VAR_fin</v>
          </cell>
          <cell r="D511" t="str">
            <v>SOLPVC</v>
          </cell>
          <cell r="E511">
            <v>0.86248322578584802</v>
          </cell>
          <cell r="F511">
            <v>1.2875827463657801</v>
          </cell>
          <cell r="G511">
            <v>1.7710594136476401</v>
          </cell>
          <cell r="H511">
            <v>1.91954992654474</v>
          </cell>
          <cell r="I511">
            <v>2.1204120702770402</v>
          </cell>
          <cell r="J511">
            <v>2.3422957729566201</v>
          </cell>
        </row>
        <row r="512">
          <cell r="B512" t="str">
            <v>RHEM-ESOLPV</v>
          </cell>
          <cell r="C512" t="str">
            <v>VAR_ncap</v>
          </cell>
          <cell r="D512" t="str">
            <v>-</v>
          </cell>
          <cell r="F512">
            <v>5.8999409776697097E-8</v>
          </cell>
          <cell r="G512">
            <v>8.1927077007901097E-2</v>
          </cell>
          <cell r="H512">
            <v>4.2311145946785598E-7</v>
          </cell>
          <cell r="I512">
            <v>0.25466275538220001</v>
          </cell>
          <cell r="J512">
            <v>0.32757898440241501</v>
          </cell>
        </row>
        <row r="513">
          <cell r="B513" t="str">
            <v>RHEM-ESOLPV</v>
          </cell>
          <cell r="C513" t="str">
            <v>VAR_cap</v>
          </cell>
          <cell r="D513" t="str">
            <v>-</v>
          </cell>
          <cell r="E513">
            <v>0.27424799999999999</v>
          </cell>
          <cell r="F513">
            <v>0.43894537647582282</v>
          </cell>
          <cell r="G513">
            <v>0.56507513600731096</v>
          </cell>
          <cell r="H513">
            <v>0.55335077137825228</v>
          </cell>
          <cell r="I513">
            <v>0.61125546749100101</v>
          </cell>
          <cell r="J513">
            <v>0.67521763340222296</v>
          </cell>
        </row>
        <row r="514">
          <cell r="B514" t="str">
            <v>HPLNUC</v>
          </cell>
          <cell r="C514" t="str">
            <v>VAR_fout</v>
          </cell>
          <cell r="D514" t="str">
            <v>LTH</v>
          </cell>
          <cell r="E514">
            <v>1.4500617813936036</v>
          </cell>
          <cell r="F514">
            <v>3.8019469359038429</v>
          </cell>
          <cell r="G514">
            <v>3.2982445456783847</v>
          </cell>
          <cell r="H514">
            <v>0.85652859757509403</v>
          </cell>
        </row>
        <row r="515">
          <cell r="B515" t="str">
            <v>HPLNUC</v>
          </cell>
          <cell r="C515" t="str">
            <v>VAR_fin</v>
          </cell>
          <cell r="D515" t="str">
            <v>URN</v>
          </cell>
          <cell r="E515">
            <v>1.4500617813936036</v>
          </cell>
          <cell r="F515">
            <v>3.8019469359038429</v>
          </cell>
          <cell r="G515">
            <v>3.2982445456783847</v>
          </cell>
          <cell r="H515">
            <v>0.85652859757509403</v>
          </cell>
        </row>
        <row r="516">
          <cell r="B516" t="str">
            <v>HPLNUC</v>
          </cell>
          <cell r="C516" t="str">
            <v>VAR_cap</v>
          </cell>
          <cell r="D516" t="str">
            <v>-</v>
          </cell>
          <cell r="E516">
            <v>0.120558721922211</v>
          </cell>
          <cell r="F516">
            <v>0.120558721922211</v>
          </cell>
          <cell r="G516">
            <v>0.120558721922211</v>
          </cell>
          <cell r="H516">
            <v>0.11197225056919</v>
          </cell>
          <cell r="I516">
            <v>1.56851844506808E-2</v>
          </cell>
        </row>
        <row r="517">
          <cell r="B517" t="str">
            <v>ITOT-CHPWODCCS</v>
          </cell>
          <cell r="C517" t="str">
            <v>VAR_fout</v>
          </cell>
          <cell r="D517" t="str">
            <v>CO2_O</v>
          </cell>
          <cell r="I517">
            <v>280.86856081131464</v>
          </cell>
          <cell r="J517">
            <v>653.39047147396991</v>
          </cell>
        </row>
        <row r="518">
          <cell r="B518" t="str">
            <v>ITOT-CHPWODCCS</v>
          </cell>
          <cell r="C518" t="str">
            <v>VAR_fout</v>
          </cell>
          <cell r="D518" t="str">
            <v>CO2</v>
          </cell>
          <cell r="I518">
            <v>-280.86856081131401</v>
          </cell>
          <cell r="J518">
            <v>-653.39047147397002</v>
          </cell>
        </row>
        <row r="519">
          <cell r="B519" t="str">
            <v>ITOT-CHPWODCCS</v>
          </cell>
          <cell r="C519" t="str">
            <v>VAR_fout</v>
          </cell>
          <cell r="D519" t="str">
            <v>ITOT_LTH_CHP</v>
          </cell>
          <cell r="I519">
            <v>1.9994671482499464</v>
          </cell>
          <cell r="J519">
            <v>4.8436094253237965</v>
          </cell>
        </row>
        <row r="520">
          <cell r="B520" t="str">
            <v>ITOT-CHPWODCCS</v>
          </cell>
          <cell r="C520" t="str">
            <v>VAR_fout</v>
          </cell>
          <cell r="D520" t="str">
            <v>ITOT_KEV_WOD_ELC_CHP</v>
          </cell>
          <cell r="I520">
            <v>0.94520265189997255</v>
          </cell>
          <cell r="J520">
            <v>2.2897062737894243</v>
          </cell>
        </row>
        <row r="521">
          <cell r="B521" t="str">
            <v>ITOT-CHPWODCCS</v>
          </cell>
          <cell r="C521" t="str">
            <v>VAR_fin</v>
          </cell>
          <cell r="D521" t="str">
            <v>IWOD</v>
          </cell>
          <cell r="I521">
            <v>2.8202430984051228</v>
          </cell>
          <cell r="J521">
            <v>6.5571904900501377</v>
          </cell>
        </row>
        <row r="522">
          <cell r="B522" t="str">
            <v>ITOT-CHPWODCCS</v>
          </cell>
          <cell r="C522" t="str">
            <v>VAR_ncap</v>
          </cell>
          <cell r="D522" t="str">
            <v>-</v>
          </cell>
          <cell r="I522">
            <v>4.36021052638993E-2</v>
          </cell>
          <cell r="J522">
            <v>6.8646404105755898E-2</v>
          </cell>
        </row>
        <row r="523">
          <cell r="B523" t="str">
            <v>ITOT-CHPWODCCS</v>
          </cell>
          <cell r="C523" t="str">
            <v>VAR_cap</v>
          </cell>
          <cell r="D523" t="str">
            <v>-</v>
          </cell>
          <cell r="I523">
            <v>4.36021052638993E-2</v>
          </cell>
          <cell r="J523">
            <v>0.100289913607326</v>
          </cell>
        </row>
        <row r="524">
          <cell r="B524" t="str">
            <v>SUP_WODBIO</v>
          </cell>
          <cell r="C524" t="str">
            <v>VAR_fout</v>
          </cell>
          <cell r="D524" t="str">
            <v>ELC35</v>
          </cell>
          <cell r="F524">
            <v>3.1546058735046972E-6</v>
          </cell>
          <cell r="G524">
            <v>8.4384122166082864E-6</v>
          </cell>
          <cell r="H524">
            <v>1.9559549732817898E-4</v>
          </cell>
          <cell r="I524">
            <v>0.25328880886836008</v>
          </cell>
          <cell r="J524">
            <v>0.23602278645725858</v>
          </cell>
        </row>
        <row r="525">
          <cell r="B525" t="str">
            <v>SUP_WODBIO</v>
          </cell>
          <cell r="C525" t="str">
            <v>VAR_fout</v>
          </cell>
          <cell r="D525" t="str">
            <v>BIO</v>
          </cell>
          <cell r="F525">
            <v>7.8865146837617245E-5</v>
          </cell>
          <cell r="G525">
            <v>2.1096030541520696E-4</v>
          </cell>
          <cell r="H525">
            <v>4.8898874332044696E-3</v>
          </cell>
          <cell r="I525">
            <v>6.332220221708992</v>
          </cell>
          <cell r="J525">
            <v>5.9005696614314553</v>
          </cell>
        </row>
        <row r="526">
          <cell r="B526" t="str">
            <v>SUP_WODBIO</v>
          </cell>
          <cell r="C526" t="str">
            <v>VAR_fout</v>
          </cell>
          <cell r="D526" t="str">
            <v>LTH</v>
          </cell>
          <cell r="F526">
            <v>9.4638176205140727E-6</v>
          </cell>
          <cell r="G526">
            <v>2.5315236649824842E-5</v>
          </cell>
          <cell r="H526">
            <v>5.8678649198453628E-4</v>
          </cell>
          <cell r="I526">
            <v>0.75986642660507941</v>
          </cell>
          <cell r="J526">
            <v>0.70806835937177459</v>
          </cell>
        </row>
        <row r="527">
          <cell r="B527" t="str">
            <v>SUP_WODBIO</v>
          </cell>
          <cell r="C527" t="str">
            <v>VAR_fin</v>
          </cell>
          <cell r="D527" t="str">
            <v>CWOD</v>
          </cell>
          <cell r="F527">
            <v>1.0646794823078336E-4</v>
          </cell>
          <cell r="G527">
            <v>2.8479641231052961E-4</v>
          </cell>
          <cell r="H527">
            <v>6.601348034826043E-3</v>
          </cell>
          <cell r="I527">
            <v>8.548497299307142</v>
          </cell>
          <cell r="J527">
            <v>7.9657690429324717</v>
          </cell>
        </row>
        <row r="528">
          <cell r="B528" t="str">
            <v>SUP_WODBIO</v>
          </cell>
          <cell r="C528" t="str">
            <v>VAR_ncap</v>
          </cell>
          <cell r="D528" t="str">
            <v>-</v>
          </cell>
          <cell r="E528">
            <v>1.4390455458596599E-6</v>
          </cell>
          <cell r="F528">
            <v>5.07151813019096E-5</v>
          </cell>
          <cell r="G528">
            <v>4.3205475854968701E-5</v>
          </cell>
          <cell r="H528">
            <v>1.3199046455563801E-4</v>
          </cell>
          <cell r="I528">
            <v>0.253553131756935</v>
          </cell>
          <cell r="J528">
            <v>5.3366565080179999E-7</v>
          </cell>
        </row>
        <row r="529">
          <cell r="B529" t="str">
            <v>SUP_WODBIO</v>
          </cell>
          <cell r="C529" t="str">
            <v>VAR_cap</v>
          </cell>
          <cell r="D529" t="str">
            <v>-</v>
          </cell>
          <cell r="E529">
            <v>1.4390455458596599E-6</v>
          </cell>
          <cell r="F529">
            <v>5.1983751239296899E-5</v>
          </cell>
          <cell r="G529">
            <v>9.4633368849814068E-5</v>
          </cell>
          <cell r="H529">
            <v>2.2606551847142444E-4</v>
          </cell>
          <cell r="I529">
            <v>0.25504664137029665</v>
          </cell>
          <cell r="J529">
            <v>0.25388990160803337</v>
          </cell>
        </row>
        <row r="530">
          <cell r="B530" t="str">
            <v>D-RLFO</v>
          </cell>
          <cell r="C530" t="str">
            <v>VAR_fout</v>
          </cell>
          <cell r="D530" t="str">
            <v>CO2</v>
          </cell>
          <cell r="E530">
            <v>4514.4907642769003</v>
          </cell>
          <cell r="F530">
            <v>3820.6652550645599</v>
          </cell>
          <cell r="G530">
            <v>3635.0251747873199</v>
          </cell>
          <cell r="H530">
            <v>1600.04470374419</v>
          </cell>
          <cell r="I530">
            <v>237.91100371300001</v>
          </cell>
          <cell r="J530">
            <v>4.8702979698773703E-3</v>
          </cell>
        </row>
        <row r="531">
          <cell r="B531" t="str">
            <v>D-RLFO</v>
          </cell>
          <cell r="C531" t="str">
            <v>VAR_fout</v>
          </cell>
          <cell r="D531" t="str">
            <v>RLFO</v>
          </cell>
          <cell r="E531">
            <v>60.231933613930153</v>
          </cell>
          <cell r="F531">
            <v>50.974975477872782</v>
          </cell>
          <cell r="G531">
            <v>48.498306195678957</v>
          </cell>
          <cell r="H531">
            <v>21.348597502475773</v>
          </cell>
          <cell r="I531">
            <v>3.1750909890919687</v>
          </cell>
          <cell r="J531">
            <v>0.15002794456704951</v>
          </cell>
        </row>
        <row r="532">
          <cell r="B532" t="str">
            <v>D-RLFO</v>
          </cell>
          <cell r="C532" t="str">
            <v>VAR_fin</v>
          </cell>
          <cell r="D532" t="str">
            <v>LFO</v>
          </cell>
          <cell r="E532">
            <v>61.254962880283607</v>
          </cell>
          <cell r="F532">
            <v>51.840776866547628</v>
          </cell>
          <cell r="G532">
            <v>49.321915533070786</v>
          </cell>
          <cell r="H532">
            <v>21.710240213625369</v>
          </cell>
          <cell r="I532">
            <v>3.2281004574355574</v>
          </cell>
          <cell r="J532">
            <v>6.6082740432528788E-5</v>
          </cell>
        </row>
        <row r="533">
          <cell r="B533" t="str">
            <v>D-RLFO</v>
          </cell>
          <cell r="C533" t="str">
            <v>VAR_fin</v>
          </cell>
          <cell r="D533" t="str">
            <v>BDS</v>
          </cell>
          <cell r="G533">
            <v>1.2606685306591056E-4</v>
          </cell>
          <cell r="H533">
            <v>9.5984740495797373E-4</v>
          </cell>
          <cell r="I533">
            <v>9.1954802197284017E-4</v>
          </cell>
          <cell r="J533">
            <v>0.15251026604128287</v>
          </cell>
        </row>
        <row r="534">
          <cell r="B534" t="str">
            <v>G-INTC-EXP00-IT</v>
          </cell>
          <cell r="C534" t="str">
            <v>VAR_fout</v>
          </cell>
          <cell r="D534" t="str">
            <v>ELC_E-IT</v>
          </cell>
          <cell r="E534">
            <v>71.694125006356614</v>
          </cell>
          <cell r="F534">
            <v>35.14503324750833</v>
          </cell>
          <cell r="G534">
            <v>54.788812798537485</v>
          </cell>
          <cell r="H534">
            <v>50.740602316830646</v>
          </cell>
          <cell r="I534">
            <v>17.452222506764574</v>
          </cell>
          <cell r="J534">
            <v>17.670256280450481</v>
          </cell>
        </row>
        <row r="535">
          <cell r="B535" t="str">
            <v>G-INTC-EXP00-IT</v>
          </cell>
          <cell r="C535" t="str">
            <v>VAR_fin</v>
          </cell>
          <cell r="D535" t="str">
            <v>ELC</v>
          </cell>
          <cell r="E535">
            <v>71.694125006356614</v>
          </cell>
          <cell r="F535">
            <v>35.14503324750833</v>
          </cell>
          <cell r="G535">
            <v>54.788812798537485</v>
          </cell>
          <cell r="H535">
            <v>50.740602316830646</v>
          </cell>
          <cell r="I535">
            <v>17.452222506764574</v>
          </cell>
          <cell r="J535">
            <v>17.670256280450481</v>
          </cell>
        </row>
        <row r="536">
          <cell r="B536" t="str">
            <v>G-INTC-EXP00-IT</v>
          </cell>
          <cell r="C536" t="str">
            <v>VAR_ncap</v>
          </cell>
          <cell r="D536" t="str">
            <v>-</v>
          </cell>
          <cell r="E536">
            <v>5.2621775595978899E-7</v>
          </cell>
          <cell r="F536">
            <v>4.4350549814659002E-7</v>
          </cell>
          <cell r="G536">
            <v>3.8227297374109102E-7</v>
          </cell>
          <cell r="H536">
            <v>2.8127656515860498E-7</v>
          </cell>
          <cell r="I536">
            <v>1.93174256587414E-7</v>
          </cell>
          <cell r="J536">
            <v>3.81815057930975E-7</v>
          </cell>
        </row>
        <row r="537">
          <cell r="B537" t="str">
            <v>G-INTC-EXP00-IT</v>
          </cell>
          <cell r="C537" t="str">
            <v>VAR_cap</v>
          </cell>
          <cell r="D537" t="str">
            <v>-</v>
          </cell>
          <cell r="E537">
            <v>3.749988824467763</v>
          </cell>
          <cell r="F537">
            <v>3.7499796824690184</v>
          </cell>
          <cell r="G537">
            <v>3.7499777939665546</v>
          </cell>
          <cell r="H537">
            <v>3.7499770149405509</v>
          </cell>
          <cell r="I537">
            <v>2.4000001569107727</v>
          </cell>
          <cell r="J537">
            <v>2.4000005613089606</v>
          </cell>
        </row>
        <row r="538">
          <cell r="B538" t="str">
            <v>EWOD-CCS</v>
          </cell>
          <cell r="C538" t="str">
            <v>VAR_fout</v>
          </cell>
          <cell r="D538" t="str">
            <v>CO2_O</v>
          </cell>
          <cell r="I538">
            <v>3.9635888887465609E-2</v>
          </cell>
          <cell r="J538">
            <v>301.2381542314339</v>
          </cell>
        </row>
        <row r="539">
          <cell r="B539" t="str">
            <v>EWOD-CCS</v>
          </cell>
          <cell r="C539" t="str">
            <v>VAR_fout</v>
          </cell>
          <cell r="D539" t="str">
            <v>CO2</v>
          </cell>
          <cell r="I539">
            <v>-3.9635888887465498E-2</v>
          </cell>
          <cell r="J539">
            <v>-301.23815423143401</v>
          </cell>
        </row>
        <row r="540">
          <cell r="B540" t="str">
            <v>EWOD-CCS</v>
          </cell>
          <cell r="C540" t="str">
            <v>VAR_fout</v>
          </cell>
          <cell r="D540" t="str">
            <v>ELC13</v>
          </cell>
          <cell r="I540">
            <v>8.7846737863459865E-5</v>
          </cell>
          <cell r="J540">
            <v>0.66764717310552912</v>
          </cell>
        </row>
        <row r="541">
          <cell r="B541" t="str">
            <v>EWOD-CCS</v>
          </cell>
          <cell r="C541" t="str">
            <v>VAR_fin</v>
          </cell>
          <cell r="D541" t="str">
            <v>EWOD</v>
          </cell>
          <cell r="I541">
            <v>5.4555673063404404E-4</v>
          </cell>
          <cell r="J541">
            <v>2.5240529585981113</v>
          </cell>
        </row>
        <row r="542">
          <cell r="B542" t="str">
            <v>EWOD-CCS</v>
          </cell>
          <cell r="C542" t="str">
            <v>VAR_ncap</v>
          </cell>
          <cell r="D542" t="str">
            <v>-</v>
          </cell>
          <cell r="I542">
            <v>4.6882121484158897E-5</v>
          </cell>
          <cell r="J542">
            <v>3.7677160898818798E-2</v>
          </cell>
        </row>
        <row r="543">
          <cell r="B543" t="str">
            <v>EWOD-CCS</v>
          </cell>
          <cell r="C543" t="str">
            <v>VAR_cap</v>
          </cell>
          <cell r="D543" t="str">
            <v>-</v>
          </cell>
          <cell r="I543">
            <v>2.25732259762564E-5</v>
          </cell>
          <cell r="J543">
            <v>2.7926551029221137E-2</v>
          </cell>
        </row>
        <row r="544">
          <cell r="B544" t="str">
            <v>EOIL-ENG</v>
          </cell>
          <cell r="C544" t="str">
            <v>VAR_fout</v>
          </cell>
          <cell r="D544" t="str">
            <v>ELC35</v>
          </cell>
          <cell r="E544">
            <v>3.9608215514177994E-2</v>
          </cell>
          <cell r="F544">
            <v>1.1522867499099062E-4</v>
          </cell>
          <cell r="G544">
            <v>0.16148125974284119</v>
          </cell>
          <cell r="H544">
            <v>2.3439042715059366E-4</v>
          </cell>
          <cell r="I544">
            <v>2.411512458259251E-4</v>
          </cell>
          <cell r="J544">
            <v>6.0332779225078991E-5</v>
          </cell>
        </row>
        <row r="545">
          <cell r="B545" t="str">
            <v>EOIL-ENG</v>
          </cell>
          <cell r="C545" t="str">
            <v>VAR_fout</v>
          </cell>
          <cell r="D545" t="str">
            <v>CO2_E</v>
          </cell>
          <cell r="E545">
            <v>9.8500507726890998</v>
          </cell>
          <cell r="F545">
            <v>112.23414113752099</v>
          </cell>
          <cell r="G545">
            <v>34.924379072665502</v>
          </cell>
          <cell r="H545">
            <v>5.9440721782503099E-2</v>
          </cell>
          <cell r="I545">
            <v>5.97031138940574E-2</v>
          </cell>
          <cell r="J545">
            <v>1.5598031427044801E-2</v>
          </cell>
        </row>
        <row r="546">
          <cell r="B546" t="str">
            <v>EOIL-ENG</v>
          </cell>
          <cell r="C546" t="str">
            <v>VAR_fin</v>
          </cell>
          <cell r="D546" t="str">
            <v>ELFO</v>
          </cell>
          <cell r="E546">
            <v>0.13365062106769465</v>
          </cell>
          <cell r="F546">
            <v>1.5228513044439815</v>
          </cell>
          <cell r="G546">
            <v>0.4738721719493289</v>
          </cell>
          <cell r="H546">
            <v>8.0652268361605271E-4</v>
          </cell>
          <cell r="I546">
            <v>8.1008295650009988E-4</v>
          </cell>
          <cell r="J546">
            <v>2.1164221746329464E-4</v>
          </cell>
        </row>
        <row r="547">
          <cell r="B547" t="str">
            <v>EOIL-ENG</v>
          </cell>
          <cell r="C547" t="str">
            <v>VAR_ncap</v>
          </cell>
          <cell r="D547" t="str">
            <v>-</v>
          </cell>
          <cell r="F547">
            <v>2.8103450150786999E-5</v>
          </cell>
          <cell r="G547">
            <v>1.22691947944058E-2</v>
          </cell>
          <cell r="H547">
            <v>7.1719145558087104E-5</v>
          </cell>
          <cell r="I547">
            <v>9.5320839042672006E-6</v>
          </cell>
          <cell r="J547">
            <v>8.6746031869413994E-6</v>
          </cell>
        </row>
        <row r="548">
          <cell r="B548" t="str">
            <v>EOIL-ENG</v>
          </cell>
          <cell r="C548" t="str">
            <v>VAR_cap</v>
          </cell>
          <cell r="D548" t="str">
            <v>-</v>
          </cell>
          <cell r="E548">
            <v>2.3747503931703301E-2</v>
          </cell>
          <cell r="F548">
            <v>2.2970241588085694E-2</v>
          </cell>
          <cell r="G548">
            <v>2.4727102538203101E-2</v>
          </cell>
          <cell r="H548">
            <v>1.9362950150428323E-2</v>
          </cell>
          <cell r="I548">
            <v>3.6146775324435096E-2</v>
          </cell>
          <cell r="J548">
            <v>1.7401456951092669E-2</v>
          </cell>
        </row>
        <row r="549">
          <cell r="B549" t="str">
            <v>D-SWOD</v>
          </cell>
          <cell r="C549" t="str">
            <v>VAR_fout</v>
          </cell>
          <cell r="D549" t="str">
            <v>SWOD</v>
          </cell>
          <cell r="E549">
            <v>8.5743805715352792</v>
          </cell>
          <cell r="F549">
            <v>9.981760903519314</v>
          </cell>
          <cell r="G549">
            <v>10.039788795627199</v>
          </cell>
          <cell r="H549">
            <v>8.5585151780486974</v>
          </cell>
          <cell r="I549">
            <v>4.4912916431081111</v>
          </cell>
          <cell r="J549">
            <v>1.8568908411529126</v>
          </cell>
        </row>
        <row r="550">
          <cell r="B550" t="str">
            <v>D-SWOD</v>
          </cell>
          <cell r="C550" t="str">
            <v>VAR_fin</v>
          </cell>
          <cell r="D550" t="str">
            <v>WOD</v>
          </cell>
          <cell r="E550">
            <v>8.5743805715352792</v>
          </cell>
          <cell r="F550">
            <v>9.981760903519314</v>
          </cell>
          <cell r="G550">
            <v>10.039788795627199</v>
          </cell>
          <cell r="H550">
            <v>8.5585151780486974</v>
          </cell>
          <cell r="I550">
            <v>4.4912916431081111</v>
          </cell>
          <cell r="J550">
            <v>1.8568908411529126</v>
          </cell>
        </row>
        <row r="551">
          <cell r="B551" t="str">
            <v>SCOM-CHPWOD</v>
          </cell>
          <cell r="C551" t="str">
            <v>VAR_fout</v>
          </cell>
          <cell r="D551" t="str">
            <v>SCOM_KEV_WOD_ELC_CHP</v>
          </cell>
          <cell r="H551">
            <v>4.8544919505239215E-4</v>
          </cell>
          <cell r="I551">
            <v>2.4517880376781622E-4</v>
          </cell>
          <cell r="J551">
            <v>1.8637775957111846E-3</v>
          </cell>
        </row>
        <row r="552">
          <cell r="B552" t="str">
            <v>SCOM-CHPWOD</v>
          </cell>
          <cell r="C552" t="str">
            <v>VAR_fout</v>
          </cell>
          <cell r="D552" t="str">
            <v>SCOM_LTH_CHPWOD</v>
          </cell>
          <cell r="H552">
            <v>7.7582957127537511E-4</v>
          </cell>
          <cell r="I552">
            <v>3.7494749379283208E-4</v>
          </cell>
          <cell r="J552">
            <v>2.7371364321251081E-3</v>
          </cell>
        </row>
        <row r="553">
          <cell r="B553" t="str">
            <v>SCOM-CHPWOD</v>
          </cell>
          <cell r="C553" t="str">
            <v>VAR_fin</v>
          </cell>
          <cell r="D553" t="str">
            <v>SWOD</v>
          </cell>
          <cell r="H553">
            <v>4.4409687484478792E-3</v>
          </cell>
          <cell r="I553">
            <v>9.3401471860179986E-4</v>
          </cell>
          <cell r="J553">
            <v>5.0890215885543251E-3</v>
          </cell>
        </row>
        <row r="554">
          <cell r="B554" t="str">
            <v>SCOM-CHPWOD</v>
          </cell>
          <cell r="C554" t="str">
            <v>VAR_ncap</v>
          </cell>
          <cell r="D554" t="str">
            <v>-</v>
          </cell>
          <cell r="H554">
            <v>7.8349710549019896E-5</v>
          </cell>
          <cell r="I554">
            <v>4.5586373231606001E-7</v>
          </cell>
          <cell r="J554">
            <v>1.40254141413398E-4</v>
          </cell>
        </row>
        <row r="555">
          <cell r="B555" t="str">
            <v>SCOM-CHPWOD</v>
          </cell>
          <cell r="C555" t="str">
            <v>VAR_cap</v>
          </cell>
          <cell r="D555" t="str">
            <v>-</v>
          </cell>
          <cell r="H555">
            <v>7.8349710549019896E-5</v>
          </cell>
          <cell r="I555">
            <v>3.9416528533599594E-5</v>
          </cell>
          <cell r="J555">
            <v>1.4619785890644641E-4</v>
          </cell>
        </row>
        <row r="556">
          <cell r="B556" t="str">
            <v>ENUC_BMGL</v>
          </cell>
          <cell r="C556" t="str">
            <v>VAR_fout</v>
          </cell>
          <cell r="D556" t="str">
            <v>ELC</v>
          </cell>
          <cell r="E556">
            <v>32.820803618489236</v>
          </cell>
          <cell r="F556">
            <v>32.820785981530129</v>
          </cell>
          <cell r="G556">
            <v>31.740396402231688</v>
          </cell>
          <cell r="H556">
            <v>32.082679143902148</v>
          </cell>
          <cell r="I556">
            <v>32.820807094630482</v>
          </cell>
        </row>
        <row r="557">
          <cell r="B557" t="str">
            <v>ENUC_BMGL</v>
          </cell>
          <cell r="C557" t="str">
            <v>VAR_fin</v>
          </cell>
          <cell r="D557" t="str">
            <v>URN</v>
          </cell>
          <cell r="E557">
            <v>98.945510315392511</v>
          </cell>
          <cell r="F557">
            <v>98.945457144911416</v>
          </cell>
          <cell r="G557">
            <v>95.68838582192592</v>
          </cell>
          <cell r="H557">
            <v>96.72027221143702</v>
          </cell>
          <cell r="I557">
            <v>98.945520794982556</v>
          </cell>
        </row>
        <row r="558">
          <cell r="B558" t="str">
            <v>ENUC_BMGL</v>
          </cell>
          <cell r="C558" t="str">
            <v>VAR_cap</v>
          </cell>
          <cell r="D558" t="str">
            <v>-</v>
          </cell>
          <cell r="E558">
            <v>1.2199999441072016</v>
          </cell>
          <cell r="F558">
            <v>1.2199998213578385</v>
          </cell>
          <cell r="G558">
            <v>1.2199996455199094</v>
          </cell>
          <cell r="H558">
            <v>1.2199996459747491</v>
          </cell>
          <cell r="I558">
            <v>1.2200002487337618</v>
          </cell>
        </row>
        <row r="559">
          <cell r="B559" t="str">
            <v>D-RSH2R</v>
          </cell>
          <cell r="C559" t="str">
            <v>VAR_fout</v>
          </cell>
          <cell r="D559" t="str">
            <v>RSH2</v>
          </cell>
          <cell r="H559">
            <v>6.7348069079319018E-4</v>
          </cell>
          <cell r="I559">
            <v>1.6391048484437387E-4</v>
          </cell>
          <cell r="J559">
            <v>8.3246376531358815E-3</v>
          </cell>
        </row>
        <row r="560">
          <cell r="B560" t="str">
            <v>D-RSH2R</v>
          </cell>
          <cell r="C560" t="str">
            <v>VAR_fin</v>
          </cell>
          <cell r="D560" t="str">
            <v>H2</v>
          </cell>
          <cell r="H560">
            <v>6.7348069079319018E-4</v>
          </cell>
          <cell r="I560">
            <v>1.6391048484437387E-4</v>
          </cell>
          <cell r="J560">
            <v>8.3246376531358815E-3</v>
          </cell>
        </row>
        <row r="561">
          <cell r="B561" t="str">
            <v>D-RSH2R</v>
          </cell>
          <cell r="C561" t="str">
            <v>VAR_ncap</v>
          </cell>
          <cell r="D561" t="str">
            <v>-</v>
          </cell>
          <cell r="H561">
            <v>1.1038905295344101E-4</v>
          </cell>
          <cell r="I561">
            <v>1.2439462202875601E-4</v>
          </cell>
          <cell r="J561">
            <v>6.7560491870872401E-4</v>
          </cell>
        </row>
        <row r="562">
          <cell r="B562" t="str">
            <v>D-RSH2R</v>
          </cell>
          <cell r="C562" t="str">
            <v>VAR_cap</v>
          </cell>
          <cell r="D562" t="str">
            <v>-</v>
          </cell>
          <cell r="H562">
            <v>1.1038905295344101E-4</v>
          </cell>
          <cell r="I562">
            <v>1.4305008576854001E-4</v>
          </cell>
          <cell r="J562">
            <v>7.1821271973430501E-4</v>
          </cell>
        </row>
        <row r="563">
          <cell r="B563" t="str">
            <v>ENGA-GTOC</v>
          </cell>
          <cell r="C563" t="str">
            <v>VAR_fout</v>
          </cell>
          <cell r="D563" t="str">
            <v>ELC13</v>
          </cell>
          <cell r="H563">
            <v>3.7380064939031141E-4</v>
          </cell>
          <cell r="I563">
            <v>3.4059517657987265E-4</v>
          </cell>
          <cell r="J563">
            <v>3.0087035106431527E-4</v>
          </cell>
        </row>
        <row r="564">
          <cell r="B564" t="str">
            <v>ENGA-GTOC</v>
          </cell>
          <cell r="C564" t="str">
            <v>VAR_fout</v>
          </cell>
          <cell r="D564" t="str">
            <v>CO2_E</v>
          </cell>
          <cell r="H564">
            <v>5.7042084828105501E-2</v>
          </cell>
          <cell r="I564">
            <v>5.35787026737094E-2</v>
          </cell>
          <cell r="J564">
            <v>4.2559974552031699E-2</v>
          </cell>
        </row>
        <row r="565">
          <cell r="B565" t="str">
            <v>ENGA-GTOC</v>
          </cell>
          <cell r="C565" t="str">
            <v>VAR_fin</v>
          </cell>
          <cell r="D565" t="str">
            <v>ENGA</v>
          </cell>
          <cell r="H565">
            <v>1.0113844827678278E-3</v>
          </cell>
          <cell r="I565">
            <v>9.4997699776080567E-4</v>
          </cell>
          <cell r="J565">
            <v>7.5460947787290341E-4</v>
          </cell>
        </row>
        <row r="566">
          <cell r="B566" t="str">
            <v>ENGA-GTOC</v>
          </cell>
          <cell r="C566" t="str">
            <v>VAR_fin</v>
          </cell>
          <cell r="D566" t="str">
            <v>GTC</v>
          </cell>
          <cell r="H566">
            <v>2.7355977092485399E-3</v>
          </cell>
          <cell r="I566">
            <v>4.9932272238443079E-3</v>
          </cell>
          <cell r="J566">
            <v>4.3317790795943294E-3</v>
          </cell>
        </row>
        <row r="567">
          <cell r="B567" t="str">
            <v>ENGA-GTOC</v>
          </cell>
          <cell r="C567" t="str">
            <v>VAR_ncap</v>
          </cell>
          <cell r="D567" t="str">
            <v>-</v>
          </cell>
          <cell r="H567">
            <v>4.9721023366875198E-3</v>
          </cell>
          <cell r="I567">
            <v>1.18557081393982E-5</v>
          </cell>
          <cell r="J567">
            <v>8.1242506986300298E-6</v>
          </cell>
        </row>
        <row r="568">
          <cell r="B568" t="str">
            <v>ENGA-GTOC</v>
          </cell>
          <cell r="C568" t="str">
            <v>VAR_cap</v>
          </cell>
          <cell r="D568" t="str">
            <v>-</v>
          </cell>
          <cell r="H568">
            <v>2.7355977092485399E-3</v>
          </cell>
          <cell r="I568">
            <v>4.9932272238443071E-3</v>
          </cell>
          <cell r="J568">
            <v>4.3317790795943242E-3</v>
          </cell>
        </row>
        <row r="569">
          <cell r="B569" t="str">
            <v>D-RSH2</v>
          </cell>
          <cell r="C569" t="str">
            <v>VAR_fout</v>
          </cell>
          <cell r="D569" t="str">
            <v>RSH2</v>
          </cell>
          <cell r="H569">
            <v>6.4565199291044366E-4</v>
          </cell>
          <cell r="I569">
            <v>1.6524538271346038E-4</v>
          </cell>
          <cell r="J569">
            <v>4.1603344649094095E-3</v>
          </cell>
        </row>
        <row r="570">
          <cell r="B570" t="str">
            <v>D-RSH2</v>
          </cell>
          <cell r="C570" t="str">
            <v>VAR_fin</v>
          </cell>
          <cell r="D570" t="str">
            <v>H2</v>
          </cell>
          <cell r="H570">
            <v>6.5057082031725905E-4</v>
          </cell>
          <cell r="I570">
            <v>1.6650428615721266E-4</v>
          </cell>
          <cell r="J570">
            <v>4.1920295071492175E-3</v>
          </cell>
        </row>
        <row r="571">
          <cell r="B571" t="str">
            <v>D-RSH2</v>
          </cell>
          <cell r="C571" t="str">
            <v>VAR_ncap</v>
          </cell>
          <cell r="D571" t="str">
            <v>-</v>
          </cell>
          <cell r="H571">
            <v>1.4606218944356701E-4</v>
          </cell>
          <cell r="I571">
            <v>5.1707201720972701E-6</v>
          </cell>
          <cell r="J571">
            <v>1.64764499960361E-4</v>
          </cell>
        </row>
        <row r="572">
          <cell r="B572" t="str">
            <v>D-RSH2</v>
          </cell>
          <cell r="C572" t="str">
            <v>VAR_cap</v>
          </cell>
          <cell r="D572" t="str">
            <v>-</v>
          </cell>
          <cell r="H572">
            <v>1.4606218944356701E-4</v>
          </cell>
          <cell r="I572">
            <v>2.24036924067444E-4</v>
          </cell>
          <cell r="J572">
            <v>3.8880142402780498E-4</v>
          </cell>
        </row>
        <row r="573">
          <cell r="B573" t="str">
            <v>D-RWOD</v>
          </cell>
          <cell r="C573" t="str">
            <v>VAR_fout</v>
          </cell>
          <cell r="D573" t="str">
            <v>RWOD</v>
          </cell>
          <cell r="E573">
            <v>13.72307548739454</v>
          </cell>
          <cell r="F573">
            <v>12.942394817971161</v>
          </cell>
          <cell r="G573">
            <v>16.815925394831353</v>
          </cell>
          <cell r="H573">
            <v>13.367946541273604</v>
          </cell>
          <cell r="I573">
            <v>7.6934607520342668</v>
          </cell>
          <cell r="J573">
            <v>3.3958673816561258</v>
          </cell>
        </row>
        <row r="574">
          <cell r="B574" t="str">
            <v>D-RWOD</v>
          </cell>
          <cell r="C574" t="str">
            <v>VAR_fin</v>
          </cell>
          <cell r="D574" t="str">
            <v>WOD</v>
          </cell>
          <cell r="E574">
            <v>13.72307548739454</v>
          </cell>
          <cell r="F574">
            <v>12.942394817971161</v>
          </cell>
          <cell r="G574">
            <v>16.815925394831353</v>
          </cell>
          <cell r="H574">
            <v>13.367946541273604</v>
          </cell>
          <cell r="I574">
            <v>7.6934607520342668</v>
          </cell>
          <cell r="J574">
            <v>3.3958673816561258</v>
          </cell>
        </row>
        <row r="575">
          <cell r="B575" t="str">
            <v>SCOM-CHPGFC</v>
          </cell>
          <cell r="C575" t="str">
            <v>VAR_fout</v>
          </cell>
          <cell r="D575" t="str">
            <v>CO2_S</v>
          </cell>
          <cell r="H575">
            <v>7.2432250597467204E-2</v>
          </cell>
          <cell r="I575">
            <v>0.259146990286655</v>
          </cell>
          <cell r="J575">
            <v>3.7833695373469901E-2</v>
          </cell>
        </row>
        <row r="576">
          <cell r="B576" t="str">
            <v>SCOM-CHPGFC</v>
          </cell>
          <cell r="C576" t="str">
            <v>VAR_fout</v>
          </cell>
          <cell r="D576" t="str">
            <v>SCOM_NKEV_GAS_ELC_CHP</v>
          </cell>
          <cell r="H576">
            <v>7.7055585741986463E-4</v>
          </cell>
          <cell r="I576">
            <v>2.8028309233131161E-3</v>
          </cell>
          <cell r="J576">
            <v>4.1590232502750481E-4</v>
          </cell>
        </row>
        <row r="577">
          <cell r="B577" t="str">
            <v>SCOM-CHPGFC</v>
          </cell>
          <cell r="C577" t="str">
            <v>VAR_fout</v>
          </cell>
          <cell r="D577" t="str">
            <v>SCOM_LTH_CHPNGA</v>
          </cell>
          <cell r="H577">
            <v>2.3116675722595944E-4</v>
          </cell>
          <cell r="I577">
            <v>8.2706486261698692E-4</v>
          </cell>
          <cell r="J577">
            <v>1.2074583629830786E-4</v>
          </cell>
        </row>
        <row r="578">
          <cell r="B578" t="str">
            <v>SCOM-CHPGFC</v>
          </cell>
          <cell r="C578" t="str">
            <v>VAR_fin</v>
          </cell>
          <cell r="D578" t="str">
            <v>SNGA</v>
          </cell>
          <cell r="H578">
            <v>1.2842597623664402E-3</v>
          </cell>
          <cell r="I578">
            <v>4.59480479231659E-3</v>
          </cell>
          <cell r="J578">
            <v>6.7081020165726704E-4</v>
          </cell>
        </row>
        <row r="579">
          <cell r="B579" t="str">
            <v>SCOM-CHPGFC</v>
          </cell>
          <cell r="C579" t="str">
            <v>VAR_ncap</v>
          </cell>
          <cell r="D579" t="str">
            <v>-</v>
          </cell>
          <cell r="H579">
            <v>7.4674593638540801E-5</v>
          </cell>
          <cell r="I579">
            <v>3.16982104318812E-6</v>
          </cell>
          <cell r="J579">
            <v>5.8296170823568298E-7</v>
          </cell>
        </row>
        <row r="580">
          <cell r="B580" t="str">
            <v>SCOM-CHPGFC</v>
          </cell>
          <cell r="C580" t="str">
            <v>VAR_cap</v>
          </cell>
          <cell r="D580" t="str">
            <v>-</v>
          </cell>
          <cell r="H580">
            <v>7.4674593638540801E-5</v>
          </cell>
          <cell r="I580">
            <v>2.0737562775316199E-4</v>
          </cell>
          <cell r="J580">
            <v>6.6846380998021371E-5</v>
          </cell>
        </row>
        <row r="581">
          <cell r="B581" t="str">
            <v>CHPOIL</v>
          </cell>
          <cell r="C581" t="str">
            <v>VAR_fout</v>
          </cell>
          <cell r="D581" t="str">
            <v>ELC35</v>
          </cell>
          <cell r="E581">
            <v>1.8077346073840815E-3</v>
          </cell>
          <cell r="F581">
            <v>1.052227942691807E-4</v>
          </cell>
          <cell r="G581">
            <v>5.3776362901896118E-3</v>
          </cell>
          <cell r="H581">
            <v>1.1781653558389082E-4</v>
          </cell>
          <cell r="I581">
            <v>1.0184689855820115E-4</v>
          </cell>
          <cell r="J581">
            <v>1.0401975309878769E-5</v>
          </cell>
        </row>
        <row r="582">
          <cell r="B582" t="str">
            <v>CHPOIL</v>
          </cell>
          <cell r="C582" t="str">
            <v>VAR_fout</v>
          </cell>
          <cell r="D582" t="str">
            <v>LTH</v>
          </cell>
          <cell r="E582">
            <v>9.2969208379752727E-3</v>
          </cell>
          <cell r="F582">
            <v>5.4114579909864352E-4</v>
          </cell>
          <cell r="G582">
            <v>2.7656415206689405E-2</v>
          </cell>
          <cell r="H582">
            <v>6.0591361157429579E-4</v>
          </cell>
          <cell r="I582">
            <v>5.2378404972789087E-4</v>
          </cell>
          <cell r="J582">
            <v>5.3495873022233568E-5</v>
          </cell>
        </row>
        <row r="583">
          <cell r="B583" t="str">
            <v>CHPOIL</v>
          </cell>
          <cell r="C583" t="str">
            <v>VAR_fout</v>
          </cell>
          <cell r="D583" t="str">
            <v>CO2_E</v>
          </cell>
          <cell r="E583">
            <v>2.26271364311236</v>
          </cell>
          <cell r="F583">
            <v>133.62348722583701</v>
          </cell>
          <cell r="G583">
            <v>4.4235003560408899</v>
          </cell>
          <cell r="H583">
            <v>8.43332734700315E-2</v>
          </cell>
          <cell r="I583">
            <v>7.2827888320212905E-2</v>
          </cell>
          <cell r="J583">
            <v>9.8925491903256099E-3</v>
          </cell>
        </row>
        <row r="584">
          <cell r="B584" t="str">
            <v>CHPOIL</v>
          </cell>
          <cell r="C584" t="str">
            <v>VAR_fin</v>
          </cell>
          <cell r="D584" t="str">
            <v>ELFO</v>
          </cell>
          <cell r="E584">
            <v>3.0701677654170506E-2</v>
          </cell>
          <cell r="F584">
            <v>1.8130730966870672</v>
          </cell>
          <cell r="G584">
            <v>6.0020357612495051E-2</v>
          </cell>
          <cell r="H584">
            <v>1.1442777947087031E-3</v>
          </cell>
          <cell r="I584">
            <v>9.8816673433124616E-4</v>
          </cell>
          <cell r="J584">
            <v>1.3422726174118897E-4</v>
          </cell>
        </row>
        <row r="585">
          <cell r="B585" t="str">
            <v>CHPOIL</v>
          </cell>
          <cell r="C585" t="str">
            <v>VAR_ncap</v>
          </cell>
          <cell r="D585" t="str">
            <v>-</v>
          </cell>
          <cell r="F585">
            <v>7.5888356795618196E-6</v>
          </cell>
          <cell r="G585">
            <v>5.7473200525670897E-6</v>
          </cell>
          <cell r="H585">
            <v>7.1621990584402E-6</v>
          </cell>
          <cell r="I585">
            <v>4.5073069776531003E-5</v>
          </cell>
          <cell r="J585">
            <v>8.4278759432206501E-5</v>
          </cell>
        </row>
        <row r="586">
          <cell r="B586" t="str">
            <v>CHPOIL</v>
          </cell>
          <cell r="C586" t="str">
            <v>VAR_cap</v>
          </cell>
          <cell r="D586" t="str">
            <v>-</v>
          </cell>
          <cell r="E586">
            <v>4.4473643099610409E-3</v>
          </cell>
          <cell r="F586">
            <v>2.3070334556202221E-3</v>
          </cell>
          <cell r="G586">
            <v>2.1385152353832395E-3</v>
          </cell>
          <cell r="H586">
            <v>8.5128079929060879E-4</v>
          </cell>
          <cell r="I586">
            <v>2.4890417090595539E-4</v>
          </cell>
          <cell r="J586">
            <v>1.4206823777813843E-4</v>
          </cell>
        </row>
        <row r="587">
          <cell r="B587" t="str">
            <v>CHPHFC</v>
          </cell>
          <cell r="C587" t="str">
            <v>VAR_fout</v>
          </cell>
          <cell r="D587" t="str">
            <v>ELC35</v>
          </cell>
          <cell r="I587">
            <v>9.7967339621026438E-4</v>
          </cell>
          <cell r="J587">
            <v>9.787003945602201E-4</v>
          </cell>
        </row>
        <row r="588">
          <cell r="B588" t="str">
            <v>CHPHFC</v>
          </cell>
          <cell r="C588" t="str">
            <v>VAR_fout</v>
          </cell>
          <cell r="D588" t="str">
            <v>LTH</v>
          </cell>
          <cell r="I588">
            <v>1.1896034096838888E-3</v>
          </cell>
          <cell r="J588">
            <v>1.2350266883736089E-3</v>
          </cell>
        </row>
        <row r="589">
          <cell r="B589" t="str">
            <v>CHPHFC</v>
          </cell>
          <cell r="C589" t="str">
            <v>VAR_fin</v>
          </cell>
          <cell r="D589" t="str">
            <v>EH2</v>
          </cell>
          <cell r="I589">
            <v>2.3325557052625355E-3</v>
          </cell>
          <cell r="J589">
            <v>2.3302390346671893E-3</v>
          </cell>
        </row>
        <row r="590">
          <cell r="B590" t="str">
            <v>CHPHFC</v>
          </cell>
          <cell r="C590" t="str">
            <v>VAR_ncap</v>
          </cell>
          <cell r="D590" t="str">
            <v>-</v>
          </cell>
          <cell r="I590">
            <v>2.0430331424569099E-4</v>
          </cell>
          <cell r="J590">
            <v>2.2140444503911501E-6</v>
          </cell>
        </row>
        <row r="591">
          <cell r="B591" t="str">
            <v>CHPHFC</v>
          </cell>
          <cell r="C591" t="str">
            <v>VAR_cap</v>
          </cell>
          <cell r="D591" t="str">
            <v>-</v>
          </cell>
          <cell r="I591">
            <v>2.0430331424569099E-4</v>
          </cell>
          <cell r="J591">
            <v>2.0614469272926797E-4</v>
          </cell>
        </row>
        <row r="592">
          <cell r="B592" t="str">
            <v>ITOT-ESOLPV</v>
          </cell>
          <cell r="C592" t="str">
            <v>VAR_fout</v>
          </cell>
          <cell r="D592" t="str">
            <v>ITOT_SOL_ELC</v>
          </cell>
          <cell r="E592">
            <v>3.517953999707534</v>
          </cell>
          <cell r="F592">
            <v>4.8498359217769194</v>
          </cell>
          <cell r="G592">
            <v>11.161630214496073</v>
          </cell>
          <cell r="H592">
            <v>12.110625333412253</v>
          </cell>
          <cell r="I592">
            <v>40.834311249537762</v>
          </cell>
          <cell r="J592">
            <v>64.334036103003498</v>
          </cell>
        </row>
        <row r="593">
          <cell r="B593" t="str">
            <v>ITOT-ESOLPV</v>
          </cell>
          <cell r="C593" t="str">
            <v>VAR_fin</v>
          </cell>
          <cell r="D593" t="str">
            <v>SOL</v>
          </cell>
          <cell r="E593">
            <v>3.517953999707534</v>
          </cell>
          <cell r="F593">
            <v>4.8498359217769194</v>
          </cell>
          <cell r="G593">
            <v>11.161630214496073</v>
          </cell>
          <cell r="H593">
            <v>12.110625333412253</v>
          </cell>
          <cell r="I593">
            <v>40.834311249537762</v>
          </cell>
          <cell r="J593">
            <v>64.334036103003498</v>
          </cell>
        </row>
        <row r="594">
          <cell r="B594" t="str">
            <v>ITOT-ESOLPV</v>
          </cell>
          <cell r="C594" t="str">
            <v>VAR_fin</v>
          </cell>
          <cell r="D594" t="str">
            <v>SOLPVC</v>
          </cell>
          <cell r="E594">
            <v>3.51795399970753</v>
          </cell>
          <cell r="F594">
            <v>4.8498359217769202</v>
          </cell>
          <cell r="G594">
            <v>11.1616302144961</v>
          </cell>
          <cell r="H594">
            <v>12.110625333412299</v>
          </cell>
          <cell r="I594">
            <v>40.834311249537798</v>
          </cell>
          <cell r="J594">
            <v>64.334036103003498</v>
          </cell>
        </row>
        <row r="595">
          <cell r="B595" t="str">
            <v>ITOT-ESOLPV</v>
          </cell>
          <cell r="C595" t="str">
            <v>VAR_ncap</v>
          </cell>
          <cell r="D595" t="str">
            <v>-</v>
          </cell>
          <cell r="F595">
            <v>6.6814667401421198E-8</v>
          </cell>
          <cell r="G595">
            <v>1.76796690985629</v>
          </cell>
          <cell r="H595">
            <v>5.54725179885903E-7</v>
          </cell>
          <cell r="I595">
            <v>6.1399710023583296</v>
          </cell>
          <cell r="J595">
            <v>9.7280607971935407</v>
          </cell>
        </row>
        <row r="596">
          <cell r="B596" t="str">
            <v>ITOT-ESOLPV</v>
          </cell>
          <cell r="C596" t="str">
            <v>VAR_cap</v>
          </cell>
          <cell r="D596" t="str">
            <v>-</v>
          </cell>
          <cell r="E596">
            <v>1.1186210000000001</v>
          </cell>
          <cell r="F596">
            <v>1.6529270814017174</v>
          </cell>
          <cell r="G596">
            <v>3.5611879766709498</v>
          </cell>
          <cell r="H596">
            <v>3.4922726345920201</v>
          </cell>
          <cell r="I596">
            <v>11.775160650839936</v>
          </cell>
          <cell r="J596">
            <v>18.551642650806201</v>
          </cell>
        </row>
        <row r="597">
          <cell r="B597" t="str">
            <v>SUP_WODBIOCCS</v>
          </cell>
          <cell r="C597" t="str">
            <v>VAR_fout</v>
          </cell>
          <cell r="D597" t="str">
            <v>ELC35</v>
          </cell>
          <cell r="I597">
            <v>1.2771901900787642E-5</v>
          </cell>
          <cell r="J597">
            <v>1.7276942924868786E-2</v>
          </cell>
        </row>
        <row r="598">
          <cell r="B598" t="str">
            <v>SUP_WODBIOCCS</v>
          </cell>
          <cell r="C598" t="str">
            <v>VAR_fout</v>
          </cell>
          <cell r="D598" t="str">
            <v>CO2_O</v>
          </cell>
          <cell r="I598">
            <v>1.7489488463811553E-2</v>
          </cell>
          <cell r="J598">
            <v>27.521561285552231</v>
          </cell>
        </row>
        <row r="599">
          <cell r="B599" t="str">
            <v>SUP_WODBIOCCS</v>
          </cell>
          <cell r="C599" t="str">
            <v>VAR_fout</v>
          </cell>
          <cell r="D599" t="str">
            <v>CO2</v>
          </cell>
          <cell r="I599">
            <v>-1.7489488463811601E-2</v>
          </cell>
          <cell r="J599">
            <v>-27.521561285552199</v>
          </cell>
        </row>
        <row r="600">
          <cell r="B600" t="str">
            <v>SUP_WODBIOCCS</v>
          </cell>
          <cell r="C600" t="str">
            <v>VAR_fout</v>
          </cell>
          <cell r="D600" t="str">
            <v>BIO</v>
          </cell>
          <cell r="I600">
            <v>2.7018322721468875E-4</v>
          </cell>
          <cell r="J600">
            <v>0.43188434193843517</v>
          </cell>
        </row>
        <row r="601">
          <cell r="B601" t="str">
            <v>SUP_WODBIOCCS</v>
          </cell>
          <cell r="C601" t="str">
            <v>VAR_fout</v>
          </cell>
          <cell r="D601" t="str">
            <v>LTH</v>
          </cell>
          <cell r="I601">
            <v>3.5415183046753806E-5</v>
          </cell>
          <cell r="J601">
            <v>5.1828099463357362E-2</v>
          </cell>
        </row>
        <row r="602">
          <cell r="B602" t="str">
            <v>SUP_WODBIOCCS</v>
          </cell>
          <cell r="C602" t="str">
            <v>VAR_fin</v>
          </cell>
          <cell r="D602" t="str">
            <v>CWOD</v>
          </cell>
          <cell r="I602">
            <v>3.9565243120532202E-4</v>
          </cell>
          <cell r="J602">
            <v>0.64664409062357786</v>
          </cell>
        </row>
        <row r="603">
          <cell r="B603" t="str">
            <v>SUP_WODBIOCCS</v>
          </cell>
          <cell r="C603" t="str">
            <v>VAR_ncap</v>
          </cell>
          <cell r="D603" t="str">
            <v>-</v>
          </cell>
          <cell r="I603">
            <v>3.4215694243877898E-5</v>
          </cell>
          <cell r="J603">
            <v>1.7361225840340101E-2</v>
          </cell>
        </row>
        <row r="604">
          <cell r="B604" t="str">
            <v>SUP_WODBIOCCS</v>
          </cell>
          <cell r="C604" t="str">
            <v>VAR_cap</v>
          </cell>
          <cell r="D604" t="str">
            <v>-</v>
          </cell>
          <cell r="I604">
            <v>3.4215694243877898E-5</v>
          </cell>
          <cell r="J604">
            <v>1.7395441534584E-2</v>
          </cell>
        </row>
        <row r="605">
          <cell r="B605" t="str">
            <v>RHNS-CHPNGA</v>
          </cell>
          <cell r="C605" t="str">
            <v>VAR_fout</v>
          </cell>
          <cell r="D605" t="str">
            <v>CO2_R</v>
          </cell>
          <cell r="F605">
            <v>8.5155567325816806E-2</v>
          </cell>
          <cell r="G605">
            <v>0.84934783757378196</v>
          </cell>
          <cell r="H605">
            <v>0.81214921858426703</v>
          </cell>
          <cell r="I605">
            <v>0.56328897720764504</v>
          </cell>
          <cell r="J605">
            <v>1.33740628943948E-2</v>
          </cell>
        </row>
        <row r="606">
          <cell r="B606" t="str">
            <v>RHNS-CHPNGA</v>
          </cell>
          <cell r="C606" t="str">
            <v>VAR_fout</v>
          </cell>
          <cell r="D606" t="str">
            <v>RHNS_LTH_CHPNGA</v>
          </cell>
          <cell r="F606">
            <v>9.7728029585820303E-4</v>
          </cell>
          <cell r="G606">
            <v>6.132352932863086E-3</v>
          </cell>
          <cell r="H606">
            <v>7.4539326967928568E-3</v>
          </cell>
          <cell r="I606">
            <v>6.3406368168911487E-3</v>
          </cell>
          <cell r="J606">
            <v>1.2117549504538741E-4</v>
          </cell>
        </row>
        <row r="607">
          <cell r="B607" t="str">
            <v>RHNS-CHPNGA</v>
          </cell>
          <cell r="C607" t="str">
            <v>VAR_fout</v>
          </cell>
          <cell r="D607" t="str">
            <v>RHNS_NKEV_GAS_ELC_CHP</v>
          </cell>
          <cell r="F607">
            <v>4.1009319697424501E-4</v>
          </cell>
          <cell r="G607">
            <v>2.6133364246023029E-3</v>
          </cell>
          <cell r="H607">
            <v>3.2610955548468658E-3</v>
          </cell>
          <cell r="I607">
            <v>2.8235648325218373E-3</v>
          </cell>
          <cell r="J607">
            <v>5.5779196132003653E-5</v>
          </cell>
        </row>
        <row r="608">
          <cell r="B608" t="str">
            <v>RHNS-CHPNGA</v>
          </cell>
          <cell r="C608" t="str">
            <v>VAR_fin</v>
          </cell>
          <cell r="D608" t="str">
            <v>RNGA</v>
          </cell>
          <cell r="F608">
            <v>1.5098504845002976E-3</v>
          </cell>
          <cell r="G608">
            <v>1.505935882223018E-2</v>
          </cell>
          <cell r="H608">
            <v>1.4399808840146596E-2</v>
          </cell>
          <cell r="I608">
            <v>9.9873932129015252E-3</v>
          </cell>
          <cell r="J608">
            <v>2.3712877472331127E-4</v>
          </cell>
        </row>
        <row r="609">
          <cell r="B609" t="str">
            <v>RHNS-CHPNGA</v>
          </cell>
          <cell r="C609" t="str">
            <v>VAR_ncap</v>
          </cell>
          <cell r="D609" t="str">
            <v>-</v>
          </cell>
          <cell r="F609">
            <v>7.1436731419792407E-5</v>
          </cell>
          <cell r="G609">
            <v>1.6105414935945701E-4</v>
          </cell>
          <cell r="H609">
            <v>5.7331311460642898E-5</v>
          </cell>
          <cell r="I609">
            <v>2.3898327630214E-7</v>
          </cell>
          <cell r="J609">
            <v>9.8717043723865901E-7</v>
          </cell>
        </row>
        <row r="610">
          <cell r="B610" t="str">
            <v>RHNS-CHPNGA</v>
          </cell>
          <cell r="C610" t="str">
            <v>VAR_cap</v>
          </cell>
          <cell r="D610" t="str">
            <v>-</v>
          </cell>
          <cell r="F610">
            <v>7.1436731419792407E-5</v>
          </cell>
          <cell r="G610">
            <v>2.3247247332688266E-4</v>
          </cell>
          <cell r="H610">
            <v>2.8976363304601503E-4</v>
          </cell>
          <cell r="I610">
            <v>2.5495954342546838E-4</v>
          </cell>
          <cell r="J610">
            <v>1.6123265662623723E-5</v>
          </cell>
        </row>
        <row r="611">
          <cell r="B611" t="str">
            <v>ENUC_BEZ</v>
          </cell>
          <cell r="C611" t="str">
            <v>VAR_fout</v>
          </cell>
          <cell r="D611" t="str">
            <v>ELC</v>
          </cell>
          <cell r="E611">
            <v>20.224804456110906</v>
          </cell>
          <cell r="F611">
            <v>20.224769322914142</v>
          </cell>
          <cell r="G611">
            <v>0.21252978168445774</v>
          </cell>
          <cell r="H611">
            <v>1.9857337067206025E-2</v>
          </cell>
        </row>
        <row r="612">
          <cell r="B612" t="str">
            <v>ENUC_BEZ</v>
          </cell>
          <cell r="C612" t="str">
            <v>VAR_fin</v>
          </cell>
          <cell r="D612" t="str">
            <v>URN</v>
          </cell>
          <cell r="E612">
            <v>60.972108459025918</v>
          </cell>
          <cell r="F612">
            <v>60.972002542299322</v>
          </cell>
          <cell r="G612">
            <v>0.64071763599783549</v>
          </cell>
          <cell r="H612">
            <v>5.9864297427276052E-2</v>
          </cell>
        </row>
        <row r="613">
          <cell r="B613" t="str">
            <v>ENUC_BEZ</v>
          </cell>
          <cell r="C613" t="str">
            <v>VAR_cap</v>
          </cell>
          <cell r="D613" t="str">
            <v>-</v>
          </cell>
          <cell r="E613">
            <v>0.72999988076635092</v>
          </cell>
          <cell r="F613">
            <v>0.72999920639227345</v>
          </cell>
          <cell r="G613">
            <v>8.29539792999201E-3</v>
          </cell>
          <cell r="H613">
            <v>7.1736305285297064E-4</v>
          </cell>
        </row>
        <row r="614">
          <cell r="B614" t="str">
            <v>RHNM-CHPWOD</v>
          </cell>
          <cell r="C614" t="str">
            <v>VAR_fout</v>
          </cell>
          <cell r="D614" t="str">
            <v>RHNM_LTH_CHPWOD</v>
          </cell>
          <cell r="H614">
            <v>2.0316081363832695E-3</v>
          </cell>
          <cell r="I614">
            <v>1.1771562576216655E-3</v>
          </cell>
          <cell r="J614">
            <v>2.050361788658864E-3</v>
          </cell>
        </row>
        <row r="615">
          <cell r="B615" t="str">
            <v>RHNM-CHPWOD</v>
          </cell>
          <cell r="C615" t="str">
            <v>VAR_fout</v>
          </cell>
          <cell r="D615" t="str">
            <v>RHNM_KEV_WOD_ELC_CHP</v>
          </cell>
          <cell r="H615">
            <v>7.6373416978852478E-4</v>
          </cell>
          <cell r="I615">
            <v>4.4252355610592184E-4</v>
          </cell>
          <cell r="J615">
            <v>7.7078415388472034E-4</v>
          </cell>
        </row>
        <row r="616">
          <cell r="B616" t="str">
            <v>RHNM-CHPWOD</v>
          </cell>
          <cell r="C616" t="str">
            <v>VAR_fin</v>
          </cell>
          <cell r="D616" t="str">
            <v>RWOD</v>
          </cell>
          <cell r="H616">
            <v>5.1475603346946806E-3</v>
          </cell>
          <cell r="I616">
            <v>1.8637907321678937E-3</v>
          </cell>
          <cell r="J616">
            <v>2.7276277018814686E-3</v>
          </cell>
        </row>
        <row r="617">
          <cell r="B617" t="str">
            <v>RHNM-CHPWOD</v>
          </cell>
          <cell r="C617" t="str">
            <v>VAR_ncap</v>
          </cell>
          <cell r="D617" t="str">
            <v>-</v>
          </cell>
          <cell r="H617">
            <v>8.5464007140954501E-5</v>
          </cell>
          <cell r="I617">
            <v>6.6422490478692299E-7</v>
          </cell>
          <cell r="J617">
            <v>5.4440683061864402E-5</v>
          </cell>
        </row>
        <row r="618">
          <cell r="B618" t="str">
            <v>RHNM-CHPWOD</v>
          </cell>
          <cell r="C618" t="str">
            <v>VAR_cap</v>
          </cell>
          <cell r="D618" t="str">
            <v>-</v>
          </cell>
          <cell r="H618">
            <v>8.5464007140954501E-5</v>
          </cell>
          <cell r="I618">
            <v>1.0258637514333298E-4</v>
          </cell>
          <cell r="J618">
            <v>7.3662391145171117E-5</v>
          </cell>
        </row>
        <row r="619">
          <cell r="B619" t="str">
            <v>RHNM-SHSTG-CHPNGA</v>
          </cell>
          <cell r="C619" t="str">
            <v>VAR_fout</v>
          </cell>
          <cell r="D619" t="str">
            <v>AUX_RNM-CHPNGA_OUT</v>
          </cell>
          <cell r="E619">
            <v>1.035338105307526E-3</v>
          </cell>
          <cell r="F619">
            <v>1.2040022053321281E-4</v>
          </cell>
          <cell r="G619">
            <v>1.5782390755791124E-2</v>
          </cell>
          <cell r="H619">
            <v>0.39376850801744312</v>
          </cell>
          <cell r="I619">
            <v>2.0270472414832163E-2</v>
          </cell>
          <cell r="J619">
            <v>8.6521947219616571E-4</v>
          </cell>
        </row>
        <row r="620">
          <cell r="B620" t="str">
            <v>RHNM-SHSTG-CHPNGA</v>
          </cell>
          <cell r="C620" t="str">
            <v>VAR_fout</v>
          </cell>
          <cell r="D620" t="str">
            <v>RHNM_LTH_CHPNGA</v>
          </cell>
          <cell r="E620">
            <v>1.0353381053075231E-3</v>
          </cell>
          <cell r="F620">
            <v>1.2048048734690139E-4</v>
          </cell>
          <cell r="G620">
            <v>1.5798830746161712E-2</v>
          </cell>
          <cell r="H620">
            <v>0.39376850801744312</v>
          </cell>
          <cell r="I620">
            <v>2.027047241483208E-2</v>
          </cell>
          <cell r="J620">
            <v>8.6521947219616506E-4</v>
          </cell>
        </row>
        <row r="621">
          <cell r="B621" t="str">
            <v>RHNM-SHSTG-CHPNGA</v>
          </cell>
          <cell r="C621" t="str">
            <v>VAR_fin</v>
          </cell>
          <cell r="D621" t="str">
            <v>AUX_RNM-CHPNGA_IN</v>
          </cell>
          <cell r="E621">
            <v>8.1065924539707617E-4</v>
          </cell>
          <cell r="F621">
            <v>1.4748885728121269E-4</v>
          </cell>
          <cell r="G621">
            <v>2.0373985968924042E-2</v>
          </cell>
          <cell r="H621">
            <v>0.49221643606713994</v>
          </cell>
          <cell r="I621">
            <v>2.3853426350893266E-2</v>
          </cell>
          <cell r="J621">
            <v>9.671560144408044E-4</v>
          </cell>
        </row>
        <row r="622">
          <cell r="B622" t="str">
            <v>RHNM-SHSTG-CHPNGA</v>
          </cell>
          <cell r="C622" t="str">
            <v>VAR_fin</v>
          </cell>
          <cell r="D622" t="str">
            <v>RHNM_LTH_CHPNGA</v>
          </cell>
          <cell r="E622">
            <v>8.1065924539707617E-4</v>
          </cell>
          <cell r="F622">
            <v>1.4748885728121269E-4</v>
          </cell>
          <cell r="G622">
            <v>2.0373985968924042E-2</v>
          </cell>
          <cell r="H622">
            <v>0.49221643606713994</v>
          </cell>
          <cell r="I622">
            <v>2.3853426350893266E-2</v>
          </cell>
          <cell r="J622">
            <v>9.671560144408044E-4</v>
          </cell>
        </row>
        <row r="623">
          <cell r="B623" t="str">
            <v>RHNM-SHSTG-CHPNGA</v>
          </cell>
          <cell r="C623" t="str">
            <v>VAR_ncap</v>
          </cell>
          <cell r="D623" t="str">
            <v>-</v>
          </cell>
          <cell r="E623">
            <v>6.8172900270027197E-3</v>
          </cell>
          <cell r="F623">
            <v>3.2294569512783202E-4</v>
          </cell>
          <cell r="G623">
            <v>4.9928223017160602E-3</v>
          </cell>
          <cell r="H623">
            <v>1.35652070808736E-2</v>
          </cell>
          <cell r="I623">
            <v>2.7522531493455899E-4</v>
          </cell>
          <cell r="J623">
            <v>2.99119344796058E-4</v>
          </cell>
        </row>
        <row r="624">
          <cell r="B624" t="str">
            <v>RHNM-SHSTG-CHPNGA</v>
          </cell>
          <cell r="C624" t="str">
            <v>VAR_cap</v>
          </cell>
          <cell r="D624" t="str">
            <v>-</v>
          </cell>
          <cell r="E624">
            <v>6.8172900270027197E-3</v>
          </cell>
          <cell r="F624">
            <v>7.1267301299047809E-3</v>
          </cell>
          <cell r="G624">
            <v>1.2074876539619587E-2</v>
          </cell>
          <cell r="H624">
            <v>2.5550947902734562E-2</v>
          </cell>
          <cell r="I624">
            <v>1.83141419974059E-2</v>
          </cell>
          <cell r="J624">
            <v>4.3914605016442182E-3</v>
          </cell>
        </row>
        <row r="625">
          <cell r="B625" t="str">
            <v>CT_CWODBDS</v>
          </cell>
          <cell r="C625" t="str">
            <v>VAR_fout</v>
          </cell>
          <cell r="D625" t="str">
            <v>BDS</v>
          </cell>
          <cell r="E625">
            <v>0.78912345640983284</v>
          </cell>
          <cell r="F625">
            <v>0.63724571677825559</v>
          </cell>
          <cell r="G625">
            <v>0.70633905795853302</v>
          </cell>
          <cell r="H625">
            <v>0.77952785239238054</v>
          </cell>
          <cell r="I625">
            <v>0.46672038973496449</v>
          </cell>
          <cell r="J625">
            <v>2.7047236869804563E-5</v>
          </cell>
        </row>
        <row r="626">
          <cell r="B626" t="str">
            <v>CT_CWODBDS</v>
          </cell>
          <cell r="C626" t="str">
            <v>VAR_fout</v>
          </cell>
          <cell r="D626" t="str">
            <v>LTH</v>
          </cell>
          <cell r="E626">
            <v>0.30775814799983447</v>
          </cell>
          <cell r="F626">
            <v>0.24852582954351907</v>
          </cell>
          <cell r="G626">
            <v>0.27547223260382764</v>
          </cell>
          <cell r="H626">
            <v>0.30401586243302753</v>
          </cell>
          <cell r="I626">
            <v>0.18202095199663576</v>
          </cell>
          <cell r="J626">
            <v>1.0548422379223766E-5</v>
          </cell>
        </row>
        <row r="627">
          <cell r="B627" t="str">
            <v>CT_CWODBDS</v>
          </cell>
          <cell r="C627" t="str">
            <v>VAR_fin</v>
          </cell>
          <cell r="D627" t="str">
            <v>CWOD</v>
          </cell>
          <cell r="E627">
            <v>2.2486072890398194</v>
          </cell>
          <cell r="F627">
            <v>1.8158316699596362</v>
          </cell>
          <cell r="G627">
            <v>2.0127131456528393</v>
          </cell>
          <cell r="H627">
            <v>2.2212646153920863</v>
          </cell>
          <cell r="I627">
            <v>1.3299197505497806</v>
          </cell>
          <cell r="J627">
            <v>7.707110146050804E-5</v>
          </cell>
        </row>
        <row r="628">
          <cell r="B628" t="str">
            <v>CT_CWODBDS</v>
          </cell>
          <cell r="C628" t="str">
            <v>VAR_fin</v>
          </cell>
          <cell r="D628" t="str">
            <v>CELC</v>
          </cell>
          <cell r="E628">
            <v>5.4844080220483427E-2</v>
          </cell>
          <cell r="F628">
            <v>4.4288577316088734E-2</v>
          </cell>
          <cell r="G628">
            <v>4.9090564528118032E-2</v>
          </cell>
          <cell r="H628">
            <v>5.4177185741270464E-2</v>
          </cell>
          <cell r="I628">
            <v>3.2437067086580014E-2</v>
          </cell>
          <cell r="J628">
            <v>1.879782962451418E-6</v>
          </cell>
        </row>
        <row r="629">
          <cell r="B629" t="str">
            <v>CT_CWODBDS</v>
          </cell>
          <cell r="C629" t="str">
            <v>VAR_ncap</v>
          </cell>
          <cell r="D629" t="str">
            <v>-</v>
          </cell>
          <cell r="E629">
            <v>5.9309315886385295E-7</v>
          </cell>
          <cell r="F629">
            <v>4.4466110424322799E-7</v>
          </cell>
          <cell r="G629">
            <v>7.4256309367213996E-7</v>
          </cell>
          <cell r="H629">
            <v>4.1697183097436597E-3</v>
          </cell>
          <cell r="I629">
            <v>2.0577310433369002E-3</v>
          </cell>
          <cell r="J629">
            <v>4.7423026677987101E-7</v>
          </cell>
        </row>
        <row r="630">
          <cell r="B630" t="str">
            <v>CT_CWODBDS</v>
          </cell>
          <cell r="C630" t="str">
            <v>VAR_cap</v>
          </cell>
          <cell r="D630" t="str">
            <v>-</v>
          </cell>
          <cell r="E630">
            <v>4.0931170954330257E-2</v>
          </cell>
          <cell r="F630">
            <v>3.6644904174166104E-2</v>
          </cell>
          <cell r="G630">
            <v>3.6638970864399975E-2</v>
          </cell>
          <cell r="H630">
            <v>4.0422818127750032E-2</v>
          </cell>
          <cell r="I630">
            <v>2.4201215043259287E-2</v>
          </cell>
          <cell r="J630">
            <v>8.5781681905598012E-5</v>
          </cell>
        </row>
        <row r="631">
          <cell r="B631" t="str">
            <v>RHNS-EBAT</v>
          </cell>
          <cell r="C631" t="str">
            <v>VAR_fout</v>
          </cell>
          <cell r="D631" t="str">
            <v>RHNS_ELC</v>
          </cell>
          <cell r="E631">
            <v>2.6978455455619267E-3</v>
          </cell>
          <cell r="F631">
            <v>2.6740774975031432E-3</v>
          </cell>
          <cell r="G631">
            <v>2.6894529500351184E-3</v>
          </cell>
          <cell r="H631">
            <v>3.5321724476074429E-2</v>
          </cell>
          <cell r="I631">
            <v>2.3399233181433327E-3</v>
          </cell>
          <cell r="J631">
            <v>2.2975365554959618E-2</v>
          </cell>
        </row>
        <row r="632">
          <cell r="B632" t="str">
            <v>RHNS-EBAT</v>
          </cell>
          <cell r="C632" t="str">
            <v>VAR_fout</v>
          </cell>
          <cell r="D632" t="str">
            <v>AUX_RHNS-EBAT_OUT</v>
          </cell>
          <cell r="E632">
            <v>2.6978455455619289E-3</v>
          </cell>
          <cell r="F632">
            <v>2.6740774975031458E-3</v>
          </cell>
          <cell r="G632">
            <v>2.6894529500351215E-3</v>
          </cell>
          <cell r="H632">
            <v>3.5321724476074463E-2</v>
          </cell>
          <cell r="I632">
            <v>2.3399233181433362E-3</v>
          </cell>
          <cell r="J632">
            <v>2.2975365554959642E-2</v>
          </cell>
        </row>
        <row r="633">
          <cell r="B633" t="str">
            <v>RHNS-EBAT</v>
          </cell>
          <cell r="C633" t="str">
            <v>VAR_fin</v>
          </cell>
          <cell r="D633" t="str">
            <v>RHNS_ELC</v>
          </cell>
          <cell r="E633">
            <v>3.0092348384635945E-3</v>
          </cell>
          <cell r="F633">
            <v>2.9786954838164769E-3</v>
          </cell>
          <cell r="G633">
            <v>2.9775143114109943E-3</v>
          </cell>
          <cell r="H633">
            <v>3.9060342051699906E-2</v>
          </cell>
          <cell r="I633">
            <v>2.5896711758738103E-3</v>
          </cell>
          <cell r="J633">
            <v>2.5409680302956057E-2</v>
          </cell>
        </row>
        <row r="634">
          <cell r="B634" t="str">
            <v>RHNS-EBAT</v>
          </cell>
          <cell r="C634" t="str">
            <v>VAR_fin</v>
          </cell>
          <cell r="D634" t="str">
            <v>AUX_RHNS-EBAT_IN</v>
          </cell>
          <cell r="E634">
            <v>3.0092348384635945E-3</v>
          </cell>
          <cell r="F634">
            <v>2.9786954838164769E-3</v>
          </cell>
          <cell r="G634">
            <v>2.9775143114109943E-3</v>
          </cell>
          <cell r="H634">
            <v>3.9060342051699906E-2</v>
          </cell>
          <cell r="I634">
            <v>2.5896711758738103E-3</v>
          </cell>
          <cell r="J634">
            <v>2.5409680302956057E-2</v>
          </cell>
        </row>
        <row r="635">
          <cell r="B635" t="str">
            <v>RHNS-EBAT</v>
          </cell>
          <cell r="C635" t="str">
            <v>VAR_ncap</v>
          </cell>
          <cell r="D635" t="str">
            <v>-</v>
          </cell>
          <cell r="E635">
            <v>1.0980988580970199E-3</v>
          </cell>
          <cell r="F635">
            <v>1.73995561532265E-6</v>
          </cell>
          <cell r="G635">
            <v>5.1451812280235903E-6</v>
          </cell>
          <cell r="H635">
            <v>1.3658618680490399E-2</v>
          </cell>
          <cell r="I635">
            <v>2.4961609372003701E-2</v>
          </cell>
          <cell r="J635">
            <v>4.0161463847627803E-2</v>
          </cell>
        </row>
        <row r="636">
          <cell r="B636" t="str">
            <v>RHNS-EBAT</v>
          </cell>
          <cell r="C636" t="str">
            <v>VAR_cap</v>
          </cell>
          <cell r="D636" t="str">
            <v>-</v>
          </cell>
          <cell r="E636">
            <v>1.1007256640709717E-3</v>
          </cell>
          <cell r="F636">
            <v>1.1017689018521055E-3</v>
          </cell>
          <cell r="G636">
            <v>1.1059459190289789E-3</v>
          </cell>
          <cell r="H636">
            <v>1.4466716901508254E-2</v>
          </cell>
          <cell r="I636">
            <v>3.1533131199048561E-2</v>
          </cell>
          <cell r="J636">
            <v>5.3407980443274466E-2</v>
          </cell>
        </row>
        <row r="637">
          <cell r="B637" t="str">
            <v>G-INTC-EXP00-AT</v>
          </cell>
          <cell r="C637" t="str">
            <v>VAR_fout</v>
          </cell>
          <cell r="D637" t="str">
            <v>ELC_E-AT</v>
          </cell>
          <cell r="E637">
            <v>6.2295772555243447</v>
          </cell>
          <cell r="F637">
            <v>1.9254049246307935E-3</v>
          </cell>
          <cell r="G637">
            <v>2.5049203580646525E-3</v>
          </cell>
          <cell r="H637">
            <v>6.0406218698351596E-4</v>
          </cell>
          <cell r="I637">
            <v>1.2081136713127673E-3</v>
          </cell>
          <cell r="J637">
            <v>5.7243532144304584E-4</v>
          </cell>
        </row>
        <row r="638">
          <cell r="B638" t="str">
            <v>G-INTC-EXP00-AT</v>
          </cell>
          <cell r="C638" t="str">
            <v>VAR_fin</v>
          </cell>
          <cell r="D638" t="str">
            <v>ELC</v>
          </cell>
          <cell r="E638">
            <v>6.2295772555243447</v>
          </cell>
          <cell r="F638">
            <v>1.9254049246307935E-3</v>
          </cell>
          <cell r="G638">
            <v>2.5049203580646525E-3</v>
          </cell>
          <cell r="H638">
            <v>6.0406218698351596E-4</v>
          </cell>
          <cell r="I638">
            <v>1.2081136713127673E-3</v>
          </cell>
          <cell r="J638">
            <v>5.7243532144304584E-4</v>
          </cell>
        </row>
        <row r="639">
          <cell r="B639" t="str">
            <v>G-INTC-EXP00-AT</v>
          </cell>
          <cell r="C639" t="str">
            <v>VAR_ncap</v>
          </cell>
          <cell r="D639" t="str">
            <v>-</v>
          </cell>
          <cell r="E639">
            <v>1.9777554129656401E-7</v>
          </cell>
          <cell r="F639">
            <v>1.6480602006632799E-7</v>
          </cell>
          <cell r="G639">
            <v>1.49767537152458E-7</v>
          </cell>
          <cell r="H639">
            <v>1.40656443362403E-7</v>
          </cell>
          <cell r="I639">
            <v>1.14640079381537E-7</v>
          </cell>
          <cell r="J639">
            <v>3.4860179505301498E-7</v>
          </cell>
        </row>
        <row r="640">
          <cell r="B640" t="str">
            <v>G-INTC-EXP00-AT</v>
          </cell>
          <cell r="C640" t="str">
            <v>VAR_cap</v>
          </cell>
          <cell r="D640" t="str">
            <v>-</v>
          </cell>
          <cell r="E640">
            <v>0.23727467406216796</v>
          </cell>
          <cell r="F640">
            <v>2.1389000203999586E-3</v>
          </cell>
          <cell r="G640">
            <v>2.1356153004299383E-3</v>
          </cell>
          <cell r="H640">
            <v>2.1335435829088478E-3</v>
          </cell>
          <cell r="I640">
            <v>2.1297235591917207E-3</v>
          </cell>
          <cell r="J640">
            <v>2.132279047492025E-3</v>
          </cell>
        </row>
        <row r="641">
          <cell r="B641" t="str">
            <v>G-INTC-IMP00-DE</v>
          </cell>
          <cell r="C641" t="str">
            <v>VAR_fout</v>
          </cell>
          <cell r="D641" t="str">
            <v>ELC</v>
          </cell>
          <cell r="E641">
            <v>46.398495677142932</v>
          </cell>
          <cell r="F641">
            <v>27.919799486953778</v>
          </cell>
          <cell r="G641">
            <v>23.884316031111201</v>
          </cell>
          <cell r="H641">
            <v>32.059304849764857</v>
          </cell>
          <cell r="I641">
            <v>25.279721890668348</v>
          </cell>
          <cell r="J641">
            <v>13.717253545643583</v>
          </cell>
        </row>
        <row r="642">
          <cell r="B642" t="str">
            <v>G-INTC-IMP00-DE</v>
          </cell>
          <cell r="C642" t="str">
            <v>VAR_fin</v>
          </cell>
          <cell r="D642" t="str">
            <v>ELC_I-DE</v>
          </cell>
          <cell r="E642">
            <v>46.398495677142932</v>
          </cell>
          <cell r="F642">
            <v>27.919799486953778</v>
          </cell>
          <cell r="G642">
            <v>23.884316031111201</v>
          </cell>
          <cell r="H642">
            <v>32.059304849764857</v>
          </cell>
          <cell r="I642">
            <v>25.279721890668348</v>
          </cell>
          <cell r="J642">
            <v>13.717253545643583</v>
          </cell>
        </row>
        <row r="643">
          <cell r="B643" t="str">
            <v>G-INTC-IMP00-DE</v>
          </cell>
          <cell r="C643" t="str">
            <v>VAR_ncap</v>
          </cell>
          <cell r="D643" t="str">
            <v>-</v>
          </cell>
          <cell r="E643">
            <v>6.8198365513186396E-7</v>
          </cell>
          <cell r="F643">
            <v>6.0123253076391001E-7</v>
          </cell>
          <cell r="G643">
            <v>5.4407385108551297E-7</v>
          </cell>
          <cell r="H643">
            <v>4.6460000219615501E-7</v>
          </cell>
          <cell r="I643">
            <v>2.1041116369736101E-7</v>
          </cell>
          <cell r="J643">
            <v>3.3316223633385498E-7</v>
          </cell>
        </row>
        <row r="644">
          <cell r="B644" t="str">
            <v>G-INTC-IMP00-DE</v>
          </cell>
          <cell r="C644" t="str">
            <v>VAR_cap</v>
          </cell>
          <cell r="D644" t="str">
            <v>-</v>
          </cell>
          <cell r="E644">
            <v>1.9645438596095302</v>
          </cell>
          <cell r="F644">
            <v>1.9639192937109902</v>
          </cell>
          <cell r="G644">
            <v>1.9639077177827002</v>
          </cell>
          <cell r="H644">
            <v>1.9639022167387949</v>
          </cell>
          <cell r="I644">
            <v>1.9638893894167493</v>
          </cell>
          <cell r="J644">
            <v>1.9638287000830248</v>
          </cell>
        </row>
        <row r="645">
          <cell r="B645" t="str">
            <v>RHEM-SHSTG-CHPWOD</v>
          </cell>
          <cell r="C645" t="str">
            <v>VAR_fout</v>
          </cell>
          <cell r="D645" t="str">
            <v>AUX_REM-CHPWOD_OUT</v>
          </cell>
          <cell r="E645">
            <v>9.4743611760073879E-4</v>
          </cell>
          <cell r="F645">
            <v>5.4745437936649011E-4</v>
          </cell>
          <cell r="G645">
            <v>3.7993563162016592E-4</v>
          </cell>
          <cell r="H645">
            <v>1.8206959876676772E-3</v>
          </cell>
          <cell r="I645">
            <v>4.8675782087723157E-4</v>
          </cell>
          <cell r="J645">
            <v>1.1213924525242602E-3</v>
          </cell>
        </row>
        <row r="646">
          <cell r="B646" t="str">
            <v>RHEM-SHSTG-CHPWOD</v>
          </cell>
          <cell r="C646" t="str">
            <v>VAR_fout</v>
          </cell>
          <cell r="D646" t="str">
            <v>RHEM_LTH_CHPWOD</v>
          </cell>
          <cell r="E646">
            <v>9.4743611760073607E-4</v>
          </cell>
          <cell r="F646">
            <v>5.4781934895273309E-4</v>
          </cell>
          <cell r="G646">
            <v>3.8033139790310296E-4</v>
          </cell>
          <cell r="H646">
            <v>1.8206959876676772E-3</v>
          </cell>
          <cell r="I646">
            <v>4.8675782087722979E-4</v>
          </cell>
          <cell r="J646">
            <v>1.1213924525242591E-3</v>
          </cell>
        </row>
        <row r="647">
          <cell r="B647" t="str">
            <v>RHEM-SHSTG-CHPWOD</v>
          </cell>
          <cell r="C647" t="str">
            <v>VAR_fin</v>
          </cell>
          <cell r="D647" t="str">
            <v>AUX_REM-CHPWOD_IN</v>
          </cell>
          <cell r="E647">
            <v>7.4244319997077027E-4</v>
          </cell>
          <cell r="F647">
            <v>3.0937217154128127E-4</v>
          </cell>
          <cell r="G647">
            <v>3.0380682743409514E-4</v>
          </cell>
          <cell r="H647">
            <v>2.281671029886492E-3</v>
          </cell>
          <cell r="I647">
            <v>5.784619149938351E-4</v>
          </cell>
          <cell r="J647">
            <v>1.2517926592469043E-3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RHEM_LTH_CHPWOD</v>
          </cell>
          <cell r="E648">
            <v>7.4244319997077027E-4</v>
          </cell>
          <cell r="F648">
            <v>3.0937217154128127E-4</v>
          </cell>
          <cell r="G648">
            <v>3.0380682743409514E-4</v>
          </cell>
          <cell r="H648">
            <v>2.281671029886492E-3</v>
          </cell>
          <cell r="I648">
            <v>5.784619149938351E-4</v>
          </cell>
          <cell r="J648">
            <v>1.2517926592469043E-3</v>
          </cell>
        </row>
        <row r="649">
          <cell r="B649" t="str">
            <v>RHEM-SHSTG-CHPWOD</v>
          </cell>
          <cell r="C649" t="str">
            <v>VAR_ncap</v>
          </cell>
          <cell r="D649" t="str">
            <v>-</v>
          </cell>
          <cell r="E649">
            <v>5.2970360342348101E-3</v>
          </cell>
          <cell r="F649">
            <v>1.23151480940101E-4</v>
          </cell>
          <cell r="G649">
            <v>1.82657565439644E-4</v>
          </cell>
          <cell r="H649">
            <v>1.5607463836324001E-4</v>
          </cell>
          <cell r="I649">
            <v>4.5309932292849199E-4</v>
          </cell>
          <cell r="J649">
            <v>9.8066358774775205E-4</v>
          </cell>
        </row>
        <row r="650">
          <cell r="B650" t="str">
            <v>RHEM-SHSTG-CHPWOD</v>
          </cell>
          <cell r="C650" t="str">
            <v>VAR_cap</v>
          </cell>
          <cell r="D650" t="str">
            <v>-</v>
          </cell>
          <cell r="E650">
            <v>5.2970360342348101E-3</v>
          </cell>
          <cell r="F650">
            <v>5.4044901766345096E-3</v>
          </cell>
          <cell r="G650">
            <v>5.5439895179636156E-3</v>
          </cell>
          <cell r="H650">
            <v>5.6411199652267024E-3</v>
          </cell>
          <cell r="I650">
            <v>7.2452003228302714E-3</v>
          </cell>
          <cell r="J650">
            <v>4.1146728703015632E-3</v>
          </cell>
        </row>
        <row r="651">
          <cell r="B651" t="str">
            <v>RHNM-CHPGFC</v>
          </cell>
          <cell r="C651" t="str">
            <v>VAR_fout</v>
          </cell>
          <cell r="D651" t="str">
            <v>CO2_R</v>
          </cell>
          <cell r="H651">
            <v>0.28836611037966597</v>
          </cell>
          <cell r="I651">
            <v>71.219986375463407</v>
          </cell>
          <cell r="J651">
            <v>1.8963699711244002E-2</v>
          </cell>
        </row>
        <row r="652">
          <cell r="B652" t="str">
            <v>RHNM-CHPGFC</v>
          </cell>
          <cell r="C652" t="str">
            <v>VAR_fout</v>
          </cell>
          <cell r="D652" t="str">
            <v>RHNM_NKEV_GAS_ELC_CHP</v>
          </cell>
          <cell r="H652">
            <v>2.1474072049549615E-3</v>
          </cell>
          <cell r="I652">
            <v>0.5556169149858845</v>
          </cell>
          <cell r="J652">
            <v>1.5130611471737195E-4</v>
          </cell>
        </row>
        <row r="653">
          <cell r="B653" t="str">
            <v>RHNM-CHPGFC</v>
          </cell>
          <cell r="C653" t="str">
            <v>VAR_fout</v>
          </cell>
          <cell r="D653" t="str">
            <v>RHNM_LTH_CHPNGA</v>
          </cell>
          <cell r="H653">
            <v>2.4050960695495573E-3</v>
          </cell>
          <cell r="I653">
            <v>0.58895392988503725</v>
          </cell>
          <cell r="J653">
            <v>1.5130611471737195E-4</v>
          </cell>
        </row>
        <row r="654">
          <cell r="B654" t="str">
            <v>RHNM-CHPGFC</v>
          </cell>
          <cell r="C654" t="str">
            <v>VAR_fin</v>
          </cell>
          <cell r="D654" t="str">
            <v>RNGA</v>
          </cell>
          <cell r="H654">
            <v>5.112874297511812E-3</v>
          </cell>
          <cell r="I654">
            <v>1.2627657158770094</v>
          </cell>
          <cell r="J654">
            <v>3.3623581048304905E-4</v>
          </cell>
        </row>
        <row r="655">
          <cell r="B655" t="str">
            <v>RHNM-CHPGFC</v>
          </cell>
          <cell r="C655" t="str">
            <v>VAR_ncap</v>
          </cell>
          <cell r="D655" t="str">
            <v>-</v>
          </cell>
          <cell r="H655">
            <v>1.90728771383134E-4</v>
          </cell>
          <cell r="I655">
            <v>4.5184992621356702E-2</v>
          </cell>
          <cell r="J655">
            <v>2.6870470845657802E-7</v>
          </cell>
        </row>
        <row r="656">
          <cell r="B656" t="str">
            <v>RHNM-CHPGFC</v>
          </cell>
          <cell r="C656" t="str">
            <v>VAR_cap</v>
          </cell>
          <cell r="D656" t="str">
            <v>-</v>
          </cell>
          <cell r="H656">
            <v>1.90728771383134E-4</v>
          </cell>
          <cell r="I656">
            <v>5.4613898466637244E-2</v>
          </cell>
          <cell r="J656">
            <v>9.8353123079604476E-5</v>
          </cell>
        </row>
        <row r="657">
          <cell r="B657" t="str">
            <v>G-INTC-EXP00-FR</v>
          </cell>
          <cell r="C657" t="str">
            <v>VAR_fout</v>
          </cell>
          <cell r="D657" t="str">
            <v>ELC_E-FR</v>
          </cell>
          <cell r="E657">
            <v>12.753375479763276</v>
          </cell>
          <cell r="F657">
            <v>1.7999901086192985E-3</v>
          </cell>
          <cell r="G657">
            <v>1.7806337151843445E-3</v>
          </cell>
          <cell r="H657">
            <v>8.3915544989331548E-4</v>
          </cell>
          <cell r="I657">
            <v>0.25068633528972267</v>
          </cell>
          <cell r="J657">
            <v>1.4516956248018367</v>
          </cell>
        </row>
        <row r="658">
          <cell r="B658" t="str">
            <v>G-INTC-EXP00-FR</v>
          </cell>
          <cell r="C658" t="str">
            <v>VAR_fin</v>
          </cell>
          <cell r="D658" t="str">
            <v>ELC</v>
          </cell>
          <cell r="E658">
            <v>12.753375479763276</v>
          </cell>
          <cell r="F658">
            <v>1.7999901086192985E-3</v>
          </cell>
          <cell r="G658">
            <v>1.7806337151843445E-3</v>
          </cell>
          <cell r="H658">
            <v>8.3915544989331548E-4</v>
          </cell>
          <cell r="I658">
            <v>0.25068633528972267</v>
          </cell>
          <cell r="J658">
            <v>1.4516956248018367</v>
          </cell>
        </row>
        <row r="659">
          <cell r="B659" t="str">
            <v>G-INTC-EXP00-FR</v>
          </cell>
          <cell r="C659" t="str">
            <v>VAR_ncap</v>
          </cell>
          <cell r="D659" t="str">
            <v>-</v>
          </cell>
          <cell r="E659">
            <v>6.2036886646780301E-7</v>
          </cell>
          <cell r="F659">
            <v>4.8914852839394503E-7</v>
          </cell>
          <cell r="G659">
            <v>4.7126573021752402E-7</v>
          </cell>
          <cell r="H659">
            <v>4.1713362937680098E-7</v>
          </cell>
          <cell r="I659">
            <v>2.4020827210057599E-7</v>
          </cell>
          <cell r="J659">
            <v>4.7652685373673201E-7</v>
          </cell>
        </row>
        <row r="660">
          <cell r="B660" t="str">
            <v>G-INTC-EXP00-FR</v>
          </cell>
          <cell r="C660" t="str">
            <v>VAR_cap</v>
          </cell>
          <cell r="D660" t="str">
            <v>-</v>
          </cell>
          <cell r="E660">
            <v>1.2999903775991482</v>
          </cell>
          <cell r="F660">
            <v>1.2000093562910172</v>
          </cell>
          <cell r="G660">
            <v>1.2000042377600904</v>
          </cell>
          <cell r="H660">
            <v>1.2000019256577188</v>
          </cell>
          <cell r="I660">
            <v>1.1999997781637575</v>
          </cell>
          <cell r="J660">
            <v>1.2000001409278984</v>
          </cell>
        </row>
        <row r="661">
          <cell r="B661" t="str">
            <v>RHNM-EBAT</v>
          </cell>
          <cell r="C661" t="str">
            <v>VAR_fout</v>
          </cell>
          <cell r="D661" t="str">
            <v>RHNM_ELC</v>
          </cell>
          <cell r="E661">
            <v>2.6972212092496611E-3</v>
          </cell>
          <cell r="F661">
            <v>2.6734708528859735E-3</v>
          </cell>
          <cell r="G661">
            <v>2.6879702925325299E-3</v>
          </cell>
          <cell r="H661">
            <v>3.5862230393590495E-2</v>
          </cell>
          <cell r="I661">
            <v>2.4567904300054786E-3</v>
          </cell>
          <cell r="J661">
            <v>2.2982511713308715E-2</v>
          </cell>
        </row>
        <row r="662">
          <cell r="B662" t="str">
            <v>RHNM-EBAT</v>
          </cell>
          <cell r="C662" t="str">
            <v>VAR_fout</v>
          </cell>
          <cell r="D662" t="str">
            <v>AUX_RHNM-EBAT_OUT</v>
          </cell>
          <cell r="E662">
            <v>2.6972212092496637E-3</v>
          </cell>
          <cell r="F662">
            <v>2.6734708528859757E-3</v>
          </cell>
          <cell r="G662">
            <v>2.6879702925325316E-3</v>
          </cell>
          <cell r="H662">
            <v>3.5862230393590516E-2</v>
          </cell>
          <cell r="I662">
            <v>2.4567904300054821E-3</v>
          </cell>
          <cell r="J662">
            <v>2.2982511713308743E-2</v>
          </cell>
        </row>
        <row r="663">
          <cell r="B663" t="str">
            <v>RHNM-EBAT</v>
          </cell>
          <cell r="C663" t="str">
            <v>VAR_fin</v>
          </cell>
          <cell r="D663" t="str">
            <v>RHNM_ELC</v>
          </cell>
          <cell r="E663">
            <v>3.0085444069148492E-3</v>
          </cell>
          <cell r="F663">
            <v>2.9780246168906602E-3</v>
          </cell>
          <cell r="G663">
            <v>2.9759867212710927E-3</v>
          </cell>
          <cell r="H663">
            <v>3.9658068518106084E-2</v>
          </cell>
          <cell r="I663">
            <v>2.7189104007381499E-3</v>
          </cell>
          <cell r="J663">
            <v>2.5417582987875522E-2</v>
          </cell>
        </row>
        <row r="664">
          <cell r="B664" t="str">
            <v>RHNM-EBAT</v>
          </cell>
          <cell r="C664" t="str">
            <v>VAR_fin</v>
          </cell>
          <cell r="D664" t="str">
            <v>AUX_RHNM-EBAT_IN</v>
          </cell>
          <cell r="E664">
            <v>3.0085444069148492E-3</v>
          </cell>
          <cell r="F664">
            <v>2.9780246168906602E-3</v>
          </cell>
          <cell r="G664">
            <v>2.9759867212710927E-3</v>
          </cell>
          <cell r="H664">
            <v>3.9658068518106084E-2</v>
          </cell>
          <cell r="I664">
            <v>2.7189104007381499E-3</v>
          </cell>
          <cell r="J664">
            <v>2.5417582987875522E-2</v>
          </cell>
        </row>
        <row r="665">
          <cell r="B665" t="str">
            <v>RHNM-EBAT</v>
          </cell>
          <cell r="C665" t="str">
            <v>VAR_ncap</v>
          </cell>
          <cell r="D665" t="str">
            <v>-</v>
          </cell>
          <cell r="E665">
            <v>1.09784760069712E-3</v>
          </cell>
          <cell r="F665">
            <v>1.7395996553689601E-6</v>
          </cell>
          <cell r="G665">
            <v>5.0823817976310596E-6</v>
          </cell>
          <cell r="H665">
            <v>1.38801426034867E-2</v>
          </cell>
          <cell r="I665">
            <v>2.73634969242273E-2</v>
          </cell>
          <cell r="J665">
            <v>3.9016124610918003E-2</v>
          </cell>
        </row>
        <row r="666">
          <cell r="B666" t="str">
            <v>RHNM-EBAT</v>
          </cell>
          <cell r="C666" t="str">
            <v>VAR_cap</v>
          </cell>
          <cell r="D666" t="str">
            <v>-</v>
          </cell>
          <cell r="E666">
            <v>1.1004744199588695E-3</v>
          </cell>
          <cell r="F666">
            <v>1.101515333455645E-3</v>
          </cell>
          <cell r="G666">
            <v>1.1056347145957453E-3</v>
          </cell>
          <cell r="H666">
            <v>1.4687997966470145E-2</v>
          </cell>
          <cell r="I666">
            <v>3.3765150835952322E-2</v>
          </cell>
          <cell r="J666">
            <v>5.3430504773600986E-2</v>
          </cell>
        </row>
        <row r="667">
          <cell r="B667" t="str">
            <v>ITOT-CHPWST</v>
          </cell>
          <cell r="C667" t="str">
            <v>VAR_fout</v>
          </cell>
          <cell r="D667" t="str">
            <v>ITOT_LTH_CHP</v>
          </cell>
          <cell r="E667">
            <v>1.9349466133405022</v>
          </cell>
          <cell r="F667">
            <v>1.8588123413029469</v>
          </cell>
          <cell r="G667">
            <v>2.5503141907149116</v>
          </cell>
          <cell r="H667">
            <v>2.2433623366317592</v>
          </cell>
          <cell r="I667">
            <v>1.6754555528065163</v>
          </cell>
          <cell r="J667">
            <v>2.4792960296828791E-4</v>
          </cell>
        </row>
        <row r="668">
          <cell r="B668" t="str">
            <v>ITOT-CHPWST</v>
          </cell>
          <cell r="C668" t="str">
            <v>VAR_fout</v>
          </cell>
          <cell r="D668" t="str">
            <v>ITOT_KEV_WST_ELC_CHP</v>
          </cell>
          <cell r="E668">
            <v>0.23005986536843293</v>
          </cell>
          <cell r="F668">
            <v>0.23016315476927521</v>
          </cell>
          <cell r="G668">
            <v>0.33670952769483437</v>
          </cell>
          <cell r="H668">
            <v>0.33295024456692901</v>
          </cell>
          <cell r="I668">
            <v>0.33078828712489111</v>
          </cell>
          <cell r="J668">
            <v>7.3087125280484107E-5</v>
          </cell>
        </row>
        <row r="669">
          <cell r="B669" t="str">
            <v>ITOT-CHPWST</v>
          </cell>
          <cell r="C669" t="str">
            <v>VAR_fout</v>
          </cell>
          <cell r="D669" t="str">
            <v>CO2_I</v>
          </cell>
          <cell r="E669">
            <v>344.47420843676002</v>
          </cell>
          <cell r="F669">
            <v>344.64786839057501</v>
          </cell>
          <cell r="G669">
            <v>504.200544659939</v>
          </cell>
          <cell r="H669">
            <v>498.57126350001101</v>
          </cell>
          <cell r="I669">
            <v>495.33387331604598</v>
          </cell>
          <cell r="J669">
            <v>0.109443200572119</v>
          </cell>
        </row>
        <row r="670">
          <cell r="B670" t="str">
            <v>ITOT-CHPWST</v>
          </cell>
          <cell r="C670" t="str">
            <v>VAR_fin</v>
          </cell>
          <cell r="D670" t="str">
            <v>IWST</v>
          </cell>
          <cell r="E670">
            <v>3.7120065564306004</v>
          </cell>
          <cell r="F670">
            <v>3.7138778921398092</v>
          </cell>
          <cell r="G670">
            <v>5.4331955243527936</v>
          </cell>
          <cell r="H670">
            <v>5.372535167025978</v>
          </cell>
          <cell r="I670">
            <v>5.3376494969401449</v>
          </cell>
          <cell r="J670">
            <v>1.1793448337512856E-3</v>
          </cell>
        </row>
        <row r="671">
          <cell r="B671" t="str">
            <v>ITOT-CHPWST</v>
          </cell>
          <cell r="C671" t="str">
            <v>VAR_ncap</v>
          </cell>
          <cell r="D671" t="str">
            <v>-</v>
          </cell>
          <cell r="F671">
            <v>8.3856456357179996E-7</v>
          </cell>
          <cell r="G671">
            <v>5.9010486511248199E-7</v>
          </cell>
          <cell r="H671">
            <v>1.5000676378986301E-3</v>
          </cell>
          <cell r="I671">
            <v>6.0223751460870497E-4</v>
          </cell>
          <cell r="J671">
            <v>8.10715371395961E-8</v>
          </cell>
        </row>
        <row r="672">
          <cell r="B672" t="str">
            <v>ITOT-CHPWST</v>
          </cell>
          <cell r="C672" t="str">
            <v>VAR_cap</v>
          </cell>
          <cell r="D672" t="str">
            <v>-</v>
          </cell>
          <cell r="E672">
            <v>4.8153806922030279E-2</v>
          </cell>
          <cell r="F672">
            <v>1.3853897398103672E-2</v>
          </cell>
          <cell r="G672">
            <v>1.3850963229599784E-2</v>
          </cell>
          <cell r="H672">
            <v>1.3561378224452306E-2</v>
          </cell>
          <cell r="I672">
            <v>1.3459378154115688E-2</v>
          </cell>
          <cell r="J672">
            <v>7.5903310666074891E-4</v>
          </cell>
        </row>
        <row r="673">
          <cell r="B673" t="str">
            <v>CAES-EBAT</v>
          </cell>
          <cell r="C673" t="str">
            <v>VAR_fout</v>
          </cell>
          <cell r="D673" t="str">
            <v>ELC13</v>
          </cell>
          <cell r="E673">
            <v>9.4659995648324266E-2</v>
          </cell>
          <cell r="F673">
            <v>1.1465330447429145E-2</v>
          </cell>
          <cell r="G673">
            <v>9.4440493731399885E-2</v>
          </cell>
          <cell r="H673">
            <v>9.4498602622760941E-2</v>
          </cell>
          <cell r="I673">
            <v>1.9796879916533379E-4</v>
          </cell>
          <cell r="J673">
            <v>7.2288634889373099E-5</v>
          </cell>
        </row>
        <row r="674">
          <cell r="B674" t="str">
            <v>CAES-EBAT</v>
          </cell>
          <cell r="C674" t="str">
            <v>VAR_fout</v>
          </cell>
          <cell r="D674" t="str">
            <v>AUX_CAES_OUT</v>
          </cell>
          <cell r="E674">
            <v>9.4659995648324197E-2</v>
          </cell>
          <cell r="F674">
            <v>1.1465330447429135E-2</v>
          </cell>
          <cell r="G674">
            <v>9.4440493731399761E-2</v>
          </cell>
          <cell r="H674">
            <v>9.4498602622760816E-2</v>
          </cell>
          <cell r="I674">
            <v>1.9796879916533355E-4</v>
          </cell>
          <cell r="J674">
            <v>7.2288634889373032E-5</v>
          </cell>
        </row>
        <row r="675">
          <cell r="B675" t="str">
            <v>CAES-EBAT</v>
          </cell>
          <cell r="C675" t="str">
            <v>VAR_fin</v>
          </cell>
          <cell r="D675" t="str">
            <v>ELC13</v>
          </cell>
          <cell r="E675">
            <v>0.13528013018235582</v>
          </cell>
          <cell r="F675">
            <v>1.6406034550318003E-2</v>
          </cell>
          <cell r="G675">
            <v>0.13491687988865181</v>
          </cell>
          <cell r="H675">
            <v>0.1350047534251276</v>
          </cell>
          <cell r="I675">
            <v>2.9312539379885424E-4</v>
          </cell>
          <cell r="J675">
            <v>1.1052063884879242E-4</v>
          </cell>
        </row>
        <row r="676">
          <cell r="B676" t="str">
            <v>CAES-EBAT</v>
          </cell>
          <cell r="C676" t="str">
            <v>VAR_fin</v>
          </cell>
          <cell r="D676" t="str">
            <v>AUX_CAES_IN</v>
          </cell>
          <cell r="E676">
            <v>0.13528013018235582</v>
          </cell>
          <cell r="F676">
            <v>1.6406034550318003E-2</v>
          </cell>
          <cell r="G676">
            <v>0.13491687988865181</v>
          </cell>
          <cell r="H676">
            <v>0.1350047534251276</v>
          </cell>
          <cell r="I676">
            <v>2.9312539379885424E-4</v>
          </cell>
          <cell r="J676">
            <v>1.1052063884879242E-4</v>
          </cell>
        </row>
        <row r="677">
          <cell r="B677" t="str">
            <v>CAES-EBAT</v>
          </cell>
          <cell r="C677" t="str">
            <v>VAR_ncap</v>
          </cell>
          <cell r="D677" t="str">
            <v>-</v>
          </cell>
          <cell r="F677">
            <v>8.8086694527245202E-7</v>
          </cell>
          <cell r="G677">
            <v>9.2214835615645599E-7</v>
          </cell>
          <cell r="H677">
            <v>9.20395587004317E-7</v>
          </cell>
          <cell r="I677">
            <v>2.2068251217380001E-6</v>
          </cell>
          <cell r="J677">
            <v>1.433617195125E-6</v>
          </cell>
        </row>
        <row r="678">
          <cell r="B678" t="str">
            <v>CAES-EBAT</v>
          </cell>
          <cell r="C678" t="str">
            <v>VAR_cap</v>
          </cell>
          <cell r="D678" t="str">
            <v>-</v>
          </cell>
          <cell r="E678">
            <v>0.1</v>
          </cell>
          <cell r="F678">
            <v>9.999573827579504E-2</v>
          </cell>
          <cell r="G678">
            <v>9.9995134785457726E-2</v>
          </cell>
          <cell r="H678">
            <v>9.9994882389701473E-2</v>
          </cell>
          <cell r="I678">
            <v>9.9996599784006324E-2</v>
          </cell>
          <cell r="J678">
            <v>9.9997587874963836E-2</v>
          </cell>
        </row>
        <row r="679">
          <cell r="B679" t="str">
            <v>HPLSOL</v>
          </cell>
          <cell r="C679" t="str">
            <v>VAR_ncap</v>
          </cell>
          <cell r="D679" t="str">
            <v>-</v>
          </cell>
          <cell r="H679">
            <v>3.3690753400032701E-8</v>
          </cell>
          <cell r="I679">
            <v>5.1958265511153298E-8</v>
          </cell>
          <cell r="J679">
            <v>5.5178776490005498E-8</v>
          </cell>
        </row>
        <row r="680">
          <cell r="B680" t="str">
            <v>HPLSOL</v>
          </cell>
          <cell r="C680" t="str">
            <v>VAR_cap</v>
          </cell>
          <cell r="D680" t="str">
            <v>-</v>
          </cell>
          <cell r="H680">
            <v>3.3690753400032701E-8</v>
          </cell>
          <cell r="I680">
            <v>1.22470325224347E-7</v>
          </cell>
          <cell r="J680">
            <v>1.4523928772652301E-7</v>
          </cell>
        </row>
        <row r="681">
          <cell r="B681" t="str">
            <v>RHEM-CHPNGA</v>
          </cell>
          <cell r="C681" t="str">
            <v>VAR_fout</v>
          </cell>
          <cell r="D681" t="str">
            <v>CO2_R</v>
          </cell>
          <cell r="E681">
            <v>7.4690114893525097</v>
          </cell>
          <cell r="F681">
            <v>8.3766448018775599E-2</v>
          </cell>
          <cell r="G681">
            <v>1.60032559922783</v>
          </cell>
          <cell r="H681">
            <v>161.27313689643901</v>
          </cell>
          <cell r="I681">
            <v>100.803062957574</v>
          </cell>
          <cell r="J681">
            <v>1.4694731312358499E-2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RHEM_LTH_CHPNGA</v>
          </cell>
          <cell r="E682">
            <v>6.2500217510317216E-2</v>
          </cell>
          <cell r="F682">
            <v>9.0346113925278318E-4</v>
          </cell>
          <cell r="G682">
            <v>1.4093007157361765E-2</v>
          </cell>
          <cell r="H682">
            <v>1.7692780943323358</v>
          </cell>
          <cell r="I682">
            <v>1.0991435104473712</v>
          </cell>
          <cell r="J682">
            <v>1.2708649715168407E-4</v>
          </cell>
        </row>
        <row r="683">
          <cell r="B683" t="str">
            <v>RHEM-CHPNGA</v>
          </cell>
          <cell r="C683" t="str">
            <v>VAR_fout</v>
          </cell>
          <cell r="D683" t="str">
            <v>RHEM_NKEV_GAS_ELC_CHP</v>
          </cell>
          <cell r="E683">
            <v>2.8769941393638056E-2</v>
          </cell>
          <cell r="F683">
            <v>4.1996750969754192E-4</v>
          </cell>
          <cell r="G683">
            <v>6.6490868909461643E-3</v>
          </cell>
          <cell r="H683">
            <v>0.8561023037091936</v>
          </cell>
          <cell r="I683">
            <v>0.54510369217308685</v>
          </cell>
          <cell r="J683">
            <v>6.4584941175446054E-5</v>
          </cell>
        </row>
        <row r="684">
          <cell r="B684" t="str">
            <v>RHEM-CHPNGA</v>
          </cell>
          <cell r="C684" t="str">
            <v>VAR_fin</v>
          </cell>
          <cell r="D684" t="str">
            <v>RNGA</v>
          </cell>
          <cell r="E684">
            <v>0.13242928172610838</v>
          </cell>
          <cell r="F684">
            <v>1.4852207095527599E-3</v>
          </cell>
          <cell r="G684">
            <v>2.8374567362195523E-2</v>
          </cell>
          <cell r="H684">
            <v>2.8594527818517608</v>
          </cell>
          <cell r="I684">
            <v>1.7872883503116035</v>
          </cell>
          <cell r="J684">
            <v>2.6054488142479581E-4</v>
          </cell>
        </row>
        <row r="685">
          <cell r="B685" t="str">
            <v>RHEM-CHPNGA</v>
          </cell>
          <cell r="C685" t="str">
            <v>VAR_ncap</v>
          </cell>
          <cell r="D685" t="str">
            <v>-</v>
          </cell>
          <cell r="F685">
            <v>1.6120598892704501E-7</v>
          </cell>
          <cell r="G685">
            <v>5.9718594065932904E-4</v>
          </cell>
          <cell r="H685">
            <v>6.2808776691202606E-2</v>
          </cell>
          <cell r="I685">
            <v>2.6444388651762799E-7</v>
          </cell>
          <cell r="J685">
            <v>1.79151501709848E-7</v>
          </cell>
        </row>
        <row r="686">
          <cell r="B686" t="str">
            <v>RHEM-CHPNGA</v>
          </cell>
          <cell r="C686" t="str">
            <v>VAR_cap</v>
          </cell>
          <cell r="D686" t="str">
            <v>-</v>
          </cell>
          <cell r="E686">
            <v>8.5537919737408413E-3</v>
          </cell>
          <cell r="F686">
            <v>1.2128765288470754E-4</v>
          </cell>
          <cell r="G686">
            <v>7.1870952994994644E-4</v>
          </cell>
          <cell r="H686">
            <v>6.3527228649220877E-2</v>
          </cell>
          <cell r="I686">
            <v>4.0662116313383137E-2</v>
          </cell>
          <cell r="J686">
            <v>1.9263104114299046E-5</v>
          </cell>
        </row>
        <row r="687">
          <cell r="B687" t="str">
            <v>D-DH2</v>
          </cell>
          <cell r="C687" t="str">
            <v>VAR_fout</v>
          </cell>
          <cell r="D687" t="str">
            <v>H2</v>
          </cell>
          <cell r="H687">
            <v>4.2114529411703932E-7</v>
          </cell>
          <cell r="I687">
            <v>1.8857180304369185E-5</v>
          </cell>
          <cell r="J687">
            <v>1.3965333222528762E-5</v>
          </cell>
        </row>
        <row r="688">
          <cell r="B688" t="str">
            <v>D-DH2</v>
          </cell>
          <cell r="C688" t="str">
            <v>VAR_fin</v>
          </cell>
          <cell r="D688" t="str">
            <v>H2_E</v>
          </cell>
          <cell r="H688">
            <v>4.2539928698690836E-7</v>
          </cell>
          <cell r="I688">
            <v>1.9047656873100217E-5</v>
          </cell>
          <cell r="J688">
            <v>1.4106397194473504E-5</v>
          </cell>
        </row>
        <row r="689">
          <cell r="B689" t="str">
            <v>D-DH2</v>
          </cell>
          <cell r="C689" t="str">
            <v>VAR_ncap</v>
          </cell>
          <cell r="D689" t="str">
            <v>-</v>
          </cell>
          <cell r="H689">
            <v>8.9981235670404E-5</v>
          </cell>
          <cell r="I689">
            <v>2.93341051414384E-4</v>
          </cell>
          <cell r="J689">
            <v>1.35728689423725E-5</v>
          </cell>
        </row>
        <row r="690">
          <cell r="B690" t="str">
            <v>D-DH2</v>
          </cell>
          <cell r="C690" t="str">
            <v>VAR_cap</v>
          </cell>
          <cell r="D690" t="str">
            <v>-</v>
          </cell>
          <cell r="H690">
            <v>8.9981235670404E-5</v>
          </cell>
          <cell r="I690">
            <v>4.8080162049170499E-4</v>
          </cell>
          <cell r="J690">
            <v>4.9437448943407704E-4</v>
          </cell>
        </row>
        <row r="691">
          <cell r="B691" t="str">
            <v>D-SBIO</v>
          </cell>
          <cell r="C691" t="str">
            <v>VAR_fout</v>
          </cell>
          <cell r="D691" t="str">
            <v>SBIO</v>
          </cell>
          <cell r="E691">
            <v>4.0477141294122179</v>
          </cell>
          <cell r="F691">
            <v>4.5833165277833956</v>
          </cell>
          <cell r="G691">
            <v>3.855741703216319</v>
          </cell>
          <cell r="H691">
            <v>3.180334784822568</v>
          </cell>
          <cell r="I691">
            <v>7.7251103280268349</v>
          </cell>
          <cell r="J691">
            <v>9.9705315649792663</v>
          </cell>
        </row>
        <row r="692">
          <cell r="B692" t="str">
            <v>D-SBIO</v>
          </cell>
          <cell r="C692" t="str">
            <v>VAR_fin</v>
          </cell>
          <cell r="D692" t="str">
            <v>BIO</v>
          </cell>
          <cell r="E692">
            <v>4.0477141294122179</v>
          </cell>
          <cell r="F692">
            <v>4.5833165277833956</v>
          </cell>
          <cell r="G692">
            <v>3.855741703216319</v>
          </cell>
          <cell r="H692">
            <v>3.180334784822568</v>
          </cell>
          <cell r="I692">
            <v>7.7251103280268349</v>
          </cell>
          <cell r="J692">
            <v>9.9705315649792663</v>
          </cell>
        </row>
        <row r="693">
          <cell r="B693" t="str">
            <v>SCOM-CHPBIO</v>
          </cell>
          <cell r="C693" t="str">
            <v>VAR_fout</v>
          </cell>
          <cell r="D693" t="str">
            <v>SCOM_LTH_CHPBIO</v>
          </cell>
          <cell r="E693">
            <v>1.4243465836941875</v>
          </cell>
          <cell r="F693">
            <v>1.5783459579603825</v>
          </cell>
          <cell r="G693">
            <v>1.5538807132812142</v>
          </cell>
          <cell r="H693">
            <v>1.3872757880190192</v>
          </cell>
          <cell r="I693">
            <v>2.6346580009737188</v>
          </cell>
          <cell r="J693">
            <v>3.4931171319548175</v>
          </cell>
        </row>
        <row r="694">
          <cell r="B694" t="str">
            <v>SCOM-CHPBIO</v>
          </cell>
          <cell r="C694" t="str">
            <v>VAR_fout</v>
          </cell>
          <cell r="D694" t="str">
            <v>SCOM_KEV_BIO_ELC_CHP</v>
          </cell>
          <cell r="E694">
            <v>0.95939035024882946</v>
          </cell>
          <cell r="F694">
            <v>1.1059592127764419</v>
          </cell>
          <cell r="G694">
            <v>1.1588636783186652</v>
          </cell>
          <cell r="H694">
            <v>1.1588695642950515</v>
          </cell>
          <cell r="I694">
            <v>2.896658452359731</v>
          </cell>
          <cell r="J694">
            <v>3.8404860371326976</v>
          </cell>
        </row>
        <row r="695">
          <cell r="B695" t="str">
            <v>SCOM-CHPBIO</v>
          </cell>
          <cell r="C695" t="str">
            <v>VAR_fin</v>
          </cell>
          <cell r="D695" t="str">
            <v>SBIO</v>
          </cell>
          <cell r="E695">
            <v>2.645420420876607</v>
          </cell>
          <cell r="F695">
            <v>3.0460726826457249</v>
          </cell>
          <cell r="G695">
            <v>3.855741703216319</v>
          </cell>
          <cell r="H695">
            <v>3.180334784822568</v>
          </cell>
          <cell r="I695">
            <v>7.7251103280268349</v>
          </cell>
          <cell r="J695">
            <v>9.9705315649792663</v>
          </cell>
        </row>
        <row r="696">
          <cell r="B696" t="str">
            <v>SCOM-CHPBIO</v>
          </cell>
          <cell r="C696" t="str">
            <v>VAR_ncap</v>
          </cell>
          <cell r="D696" t="str">
            <v>-</v>
          </cell>
          <cell r="F696">
            <v>2.6190184071780299E-2</v>
          </cell>
          <cell r="G696">
            <v>1.0627405981027301E-2</v>
          </cell>
          <cell r="H696">
            <v>1.2223310591966401E-2</v>
          </cell>
          <cell r="I696">
            <v>0.360419981596523</v>
          </cell>
          <cell r="J696">
            <v>4.295894787005E-3</v>
          </cell>
        </row>
        <row r="697">
          <cell r="B697" t="str">
            <v>SCOM-CHPBIO</v>
          </cell>
          <cell r="C697" t="str">
            <v>VAR_cap</v>
          </cell>
          <cell r="D697" t="str">
            <v>-</v>
          </cell>
          <cell r="E697">
            <v>7.3511881396442533E-2</v>
          </cell>
          <cell r="F697">
            <v>8.4745772867377833E-2</v>
          </cell>
          <cell r="G697">
            <v>8.8799640384554859E-2</v>
          </cell>
          <cell r="H697">
            <v>8.8802086910126685E-2</v>
          </cell>
          <cell r="I697">
            <v>0.4378344440606865</v>
          </cell>
          <cell r="J697">
            <v>0.29428314931198218</v>
          </cell>
        </row>
        <row r="698">
          <cell r="B698" t="str">
            <v>SCOM-CHPHFC</v>
          </cell>
          <cell r="C698" t="str">
            <v>VAR_fout</v>
          </cell>
          <cell r="D698" t="str">
            <v>SCOM_KEV_HFC_ELC_CHP</v>
          </cell>
          <cell r="H698">
            <v>3.5386253340068384E-3</v>
          </cell>
          <cell r="I698">
            <v>8.3872688007651452E-4</v>
          </cell>
          <cell r="J698">
            <v>3.3787907542945597E-2</v>
          </cell>
        </row>
        <row r="699">
          <cell r="B699" t="str">
            <v>SCOM-CHPHFC</v>
          </cell>
          <cell r="C699" t="str">
            <v>VAR_fout</v>
          </cell>
          <cell r="D699" t="str">
            <v>SCOM_LTH_CHPHFC</v>
          </cell>
          <cell r="H699">
            <v>2.6632811724367268E-3</v>
          </cell>
          <cell r="I699">
            <v>5.2808729486299069E-4</v>
          </cell>
          <cell r="J699">
            <v>1.9097512959056234E-2</v>
          </cell>
        </row>
        <row r="700">
          <cell r="B700" t="str">
            <v>SCOM-CHPHFC</v>
          </cell>
          <cell r="C700" t="str">
            <v>VAR_fin</v>
          </cell>
          <cell r="D700" t="str">
            <v>RSH2</v>
          </cell>
          <cell r="H700">
            <v>7.4497375452775511E-3</v>
          </cell>
          <cell r="I700">
            <v>1.5531979260676202E-3</v>
          </cell>
          <cell r="J700">
            <v>5.876157833555759E-2</v>
          </cell>
        </row>
        <row r="701">
          <cell r="B701" t="str">
            <v>SCOM-CHPHFC</v>
          </cell>
          <cell r="C701" t="str">
            <v>VAR_ncap</v>
          </cell>
          <cell r="D701" t="str">
            <v>-</v>
          </cell>
          <cell r="H701">
            <v>2.0786880176428099E-4</v>
          </cell>
          <cell r="I701">
            <v>4.2632475265511799E-7</v>
          </cell>
          <cell r="J701">
            <v>1.9824670334474001E-3</v>
          </cell>
        </row>
        <row r="702">
          <cell r="B702" t="str">
            <v>SCOM-CHPHFC</v>
          </cell>
          <cell r="C702" t="str">
            <v>VAR_cap</v>
          </cell>
          <cell r="D702" t="str">
            <v>-</v>
          </cell>
          <cell r="H702">
            <v>2.0786880176428099E-4</v>
          </cell>
          <cell r="I702">
            <v>1.3211972743871491E-4</v>
          </cell>
          <cell r="J702">
            <v>1.9825850510617471E-3</v>
          </cell>
        </row>
        <row r="703">
          <cell r="B703" t="str">
            <v>RHES-EBAT</v>
          </cell>
          <cell r="C703" t="str">
            <v>VAR_fout</v>
          </cell>
          <cell r="D703" t="str">
            <v>RHES_ELC</v>
          </cell>
          <cell r="E703">
            <v>2.6981899526629057E-3</v>
          </cell>
          <cell r="F703">
            <v>2.6743909037765775E-3</v>
          </cell>
          <cell r="G703">
            <v>2.6897248748431858E-3</v>
          </cell>
          <cell r="H703">
            <v>3.5322202251236889E-2</v>
          </cell>
          <cell r="I703">
            <v>2.3398666080051297E-3</v>
          </cell>
          <cell r="J703">
            <v>2.2977921330864261E-2</v>
          </cell>
        </row>
        <row r="704">
          <cell r="B704" t="str">
            <v>RHES-EBAT</v>
          </cell>
          <cell r="C704" t="str">
            <v>VAR_fout</v>
          </cell>
          <cell r="D704" t="str">
            <v>AUX_RHES-EBAT_OUT</v>
          </cell>
          <cell r="E704">
            <v>2.6981899526629083E-3</v>
          </cell>
          <cell r="F704">
            <v>2.6743909037765809E-3</v>
          </cell>
          <cell r="G704">
            <v>2.6897248748431893E-3</v>
          </cell>
          <cell r="H704">
            <v>3.5322202251236938E-2</v>
          </cell>
          <cell r="I704">
            <v>2.3398666080051331E-3</v>
          </cell>
          <cell r="J704">
            <v>2.2977921330864324E-2</v>
          </cell>
        </row>
        <row r="705">
          <cell r="B705" t="str">
            <v>RHES-EBAT</v>
          </cell>
          <cell r="C705" t="str">
            <v>VAR_fin</v>
          </cell>
          <cell r="D705" t="str">
            <v>RHES_ELC</v>
          </cell>
          <cell r="E705">
            <v>3.0096157061525455E-3</v>
          </cell>
          <cell r="F705">
            <v>2.9790420687812345E-3</v>
          </cell>
          <cell r="G705">
            <v>2.9778148156259223E-3</v>
          </cell>
          <cell r="H705">
            <v>3.9060870406432566E-2</v>
          </cell>
          <cell r="I705">
            <v>2.5896084621296477E-3</v>
          </cell>
          <cell r="J705">
            <v>2.5412506645558358E-2</v>
          </cell>
        </row>
        <row r="706">
          <cell r="B706" t="str">
            <v>RHES-EBAT</v>
          </cell>
          <cell r="C706" t="str">
            <v>VAR_fin</v>
          </cell>
          <cell r="D706" t="str">
            <v>AUX_RHES-EBAT_IN</v>
          </cell>
          <cell r="E706">
            <v>3.0096157061525455E-3</v>
          </cell>
          <cell r="F706">
            <v>2.9790420687812345E-3</v>
          </cell>
          <cell r="G706">
            <v>2.9778148156259223E-3</v>
          </cell>
          <cell r="H706">
            <v>3.9060870406432566E-2</v>
          </cell>
          <cell r="I706">
            <v>2.5896084621296477E-3</v>
          </cell>
          <cell r="J706">
            <v>2.5412506645558358E-2</v>
          </cell>
        </row>
        <row r="707">
          <cell r="B707" t="str">
            <v>RHES-EBAT</v>
          </cell>
          <cell r="C707" t="str">
            <v>VAR_ncap</v>
          </cell>
          <cell r="D707" t="str">
            <v>-</v>
          </cell>
          <cell r="E707">
            <v>1.09822569602296E-3</v>
          </cell>
          <cell r="F707">
            <v>1.7392254733616401E-6</v>
          </cell>
          <cell r="G707">
            <v>5.1344922212265104E-6</v>
          </cell>
          <cell r="H707">
            <v>1.36587334657739E-2</v>
          </cell>
          <cell r="I707">
            <v>2.4961819355992398E-2</v>
          </cell>
          <cell r="J707">
            <v>4.0164347857181301E-2</v>
          </cell>
        </row>
        <row r="708">
          <cell r="B708" t="str">
            <v>RHES-EBAT</v>
          </cell>
          <cell r="C708" t="str">
            <v>VAR_cap</v>
          </cell>
          <cell r="D708" t="str">
            <v>-</v>
          </cell>
          <cell r="E708">
            <v>1.1008524584265676E-3</v>
          </cell>
          <cell r="F708">
            <v>1.1018945530794292E-3</v>
          </cell>
          <cell r="G708">
            <v>1.1060608606818718E-3</v>
          </cell>
          <cell r="H708">
            <v>1.4466912709719077E-2</v>
          </cell>
          <cell r="I708">
            <v>3.1533189014956255E-2</v>
          </cell>
          <cell r="J708">
            <v>5.3410939500279621E-2</v>
          </cell>
        </row>
        <row r="709">
          <cell r="B709" t="str">
            <v>D-INGA</v>
          </cell>
          <cell r="C709" t="str">
            <v>VAR_fout</v>
          </cell>
          <cell r="D709" t="str">
            <v>CO2</v>
          </cell>
          <cell r="E709">
            <v>2102.3858148187301</v>
          </cell>
          <cell r="F709">
            <v>1762.8667066160999</v>
          </cell>
          <cell r="G709">
            <v>1904.68800024494</v>
          </cell>
          <cell r="H709">
            <v>1302.39333566806</v>
          </cell>
          <cell r="I709">
            <v>316.89343350191803</v>
          </cell>
          <cell r="J709">
            <v>2.3895828549033902E-3</v>
          </cell>
        </row>
        <row r="710">
          <cell r="B710" t="str">
            <v>D-INGA</v>
          </cell>
          <cell r="C710" t="str">
            <v>VAR_fout</v>
          </cell>
          <cell r="D710" t="str">
            <v>IH2</v>
          </cell>
          <cell r="I710">
            <v>0.29545865004123545</v>
          </cell>
          <cell r="J710">
            <v>0.10195851758783386</v>
          </cell>
        </row>
        <row r="711">
          <cell r="B711" t="str">
            <v>D-INGA</v>
          </cell>
          <cell r="C711" t="str">
            <v>VAR_fout</v>
          </cell>
          <cell r="D711" t="str">
            <v>INGA</v>
          </cell>
          <cell r="E711">
            <v>37.4846395417294</v>
          </cell>
          <cell r="F711">
            <v>31.156790013355177</v>
          </cell>
          <cell r="G711">
            <v>37.591995673054235</v>
          </cell>
          <cell r="H711">
            <v>26.947719547059386</v>
          </cell>
          <cell r="I711">
            <v>9.5289340812225358</v>
          </cell>
          <cell r="J711">
            <v>3.928713248588255</v>
          </cell>
        </row>
        <row r="712">
          <cell r="B712" t="str">
            <v>D-INGA</v>
          </cell>
          <cell r="C712" t="str">
            <v>VAR_fin</v>
          </cell>
          <cell r="D712" t="str">
            <v>NGA</v>
          </cell>
          <cell r="E712">
            <v>37.276344234374584</v>
          </cell>
          <cell r="F712">
            <v>31.256501890356375</v>
          </cell>
          <cell r="G712">
            <v>33.771063834130118</v>
          </cell>
          <cell r="H712">
            <v>23.092080419646507</v>
          </cell>
          <cell r="I712">
            <v>5.6186778989701747</v>
          </cell>
          <cell r="J712">
            <v>4.2368490335166545E-5</v>
          </cell>
        </row>
        <row r="713">
          <cell r="B713" t="str">
            <v>D-INGA</v>
          </cell>
          <cell r="C713" t="str">
            <v>VAR_fin</v>
          </cell>
          <cell r="D713" t="str">
            <v>BNGA</v>
          </cell>
          <cell r="E713">
            <v>0.32804447108628992</v>
          </cell>
          <cell r="F713">
            <v>3.5856457869193051E-5</v>
          </cell>
          <cell r="G713">
            <v>3.9412327343159617</v>
          </cell>
          <cell r="H713">
            <v>3.9420141391010213</v>
          </cell>
          <cell r="I713">
            <v>3.9420145670035391</v>
          </cell>
          <cell r="J713">
            <v>3.9420147181695286</v>
          </cell>
        </row>
        <row r="714">
          <cell r="B714" t="str">
            <v>D-INGA</v>
          </cell>
          <cell r="C714" t="str">
            <v>VAR_fin</v>
          </cell>
          <cell r="D714" t="str">
            <v>H2</v>
          </cell>
          <cell r="I714">
            <v>0.29545607285062148</v>
          </cell>
          <cell r="J714">
            <v>0.10195021562390788</v>
          </cell>
        </row>
        <row r="715">
          <cell r="B715" t="str">
            <v>D-INGA</v>
          </cell>
          <cell r="C715" t="str">
            <v>VAR_ncap</v>
          </cell>
          <cell r="D715" t="str">
            <v>-</v>
          </cell>
          <cell r="E715">
            <v>3.2425138686270799E-6</v>
          </cell>
          <cell r="F715">
            <v>1.26098709242159E-6</v>
          </cell>
          <cell r="G715">
            <v>1.58925965565245E-6</v>
          </cell>
          <cell r="H715">
            <v>1.88413395687096E-6</v>
          </cell>
          <cell r="I715">
            <v>5.9049925102460202E-6</v>
          </cell>
          <cell r="J715">
            <v>1.87731327166131E-4</v>
          </cell>
        </row>
        <row r="716">
          <cell r="B716" t="str">
            <v>D-INGA</v>
          </cell>
          <cell r="C716" t="str">
            <v>VAR_cap</v>
          </cell>
          <cell r="D716" t="str">
            <v>-</v>
          </cell>
          <cell r="E716">
            <v>1.9844866127799685</v>
          </cell>
          <cell r="F716">
            <v>1.984487873767061</v>
          </cell>
          <cell r="G716">
            <v>1.9844894630267167</v>
          </cell>
          <cell r="H716">
            <v>1.9844913471606735</v>
          </cell>
          <cell r="I716">
            <v>1.9845014370655709</v>
          </cell>
          <cell r="J716">
            <v>1.0956652355725571</v>
          </cell>
        </row>
        <row r="717">
          <cell r="B717" t="str">
            <v>EWIND</v>
          </cell>
          <cell r="C717" t="str">
            <v>VAR_fout</v>
          </cell>
          <cell r="D717" t="str">
            <v>ELC35</v>
          </cell>
          <cell r="E717">
            <v>0.52400000000000047</v>
          </cell>
          <cell r="F717">
            <v>0.54529209756443131</v>
          </cell>
          <cell r="G717">
            <v>0.50316469589798096</v>
          </cell>
          <cell r="H717">
            <v>2.0502663602651547</v>
          </cell>
          <cell r="I717">
            <v>3.5228363211480631</v>
          </cell>
          <cell r="J717">
            <v>6.1200051522369954</v>
          </cell>
        </row>
        <row r="718">
          <cell r="B718" t="str">
            <v>EWIND</v>
          </cell>
          <cell r="C718" t="str">
            <v>VAR_fin</v>
          </cell>
          <cell r="D718" t="str">
            <v>WND</v>
          </cell>
          <cell r="E718">
            <v>0.52400000000000047</v>
          </cell>
          <cell r="F718">
            <v>0.54529209756443131</v>
          </cell>
          <cell r="G718">
            <v>0.50316469589798096</v>
          </cell>
          <cell r="H718">
            <v>2.0502663602651547</v>
          </cell>
          <cell r="I718">
            <v>3.5228363211480631</v>
          </cell>
          <cell r="J718">
            <v>6.1200051522369954</v>
          </cell>
        </row>
        <row r="719">
          <cell r="B719" t="str">
            <v>EWIND</v>
          </cell>
          <cell r="C719" t="str">
            <v>VAR_ncap</v>
          </cell>
          <cell r="D719" t="str">
            <v>-</v>
          </cell>
          <cell r="F719">
            <v>7.1321263523495201E-3</v>
          </cell>
          <cell r="G719">
            <v>0.40214549739719102</v>
          </cell>
          <cell r="H719">
            <v>0.175751177709907</v>
          </cell>
          <cell r="I719">
            <v>2.3533406342360899E-5</v>
          </cell>
          <cell r="J719">
            <v>3.4820243220109899</v>
          </cell>
        </row>
        <row r="720">
          <cell r="B720" t="str">
            <v>EWIND</v>
          </cell>
          <cell r="C720" t="str">
            <v>VAR_cap</v>
          </cell>
          <cell r="D720" t="str">
            <v>-</v>
          </cell>
          <cell r="E720">
            <v>8.7120000000000003E-2</v>
          </cell>
          <cell r="F720">
            <v>9.0660014388956711E-2</v>
          </cell>
          <cell r="G720">
            <v>8.3655931882885726E-2</v>
          </cell>
          <cell r="H720">
            <v>0.34087619805815134</v>
          </cell>
          <cell r="I720">
            <v>0.5857063656914987</v>
          </cell>
          <cell r="J720">
            <v>1.0175127592478199</v>
          </cell>
        </row>
        <row r="721">
          <cell r="B721" t="str">
            <v>EGEO</v>
          </cell>
          <cell r="C721" t="str">
            <v>VAR_ncap</v>
          </cell>
          <cell r="D721" t="str">
            <v>-</v>
          </cell>
          <cell r="I721">
            <v>8.4653024011769996E-7</v>
          </cell>
          <cell r="J721">
            <v>8.7014613726761695E-8</v>
          </cell>
        </row>
        <row r="722">
          <cell r="B722" t="str">
            <v>EGEO</v>
          </cell>
          <cell r="C722" t="str">
            <v>VAR_cap</v>
          </cell>
          <cell r="D722" t="str">
            <v>-</v>
          </cell>
          <cell r="I722">
            <v>1.3252428348939599E-7</v>
          </cell>
          <cell r="J722">
            <v>5.4901829477179104E-7</v>
          </cell>
        </row>
        <row r="723">
          <cell r="B723" t="str">
            <v>D-SPLT</v>
          </cell>
          <cell r="C723" t="str">
            <v>VAR_fout</v>
          </cell>
          <cell r="D723" t="str">
            <v>SPLT</v>
          </cell>
          <cell r="E723">
            <v>2.0856467596463988</v>
          </cell>
          <cell r="F723">
            <v>2.4001010381302459</v>
          </cell>
          <cell r="G723">
            <v>0.29185545219730624</v>
          </cell>
          <cell r="H723">
            <v>0.25531541080899062</v>
          </cell>
          <cell r="I723">
            <v>0.13223701206552868</v>
          </cell>
          <cell r="J723">
            <v>4.3629461043107616E-2</v>
          </cell>
        </row>
        <row r="724">
          <cell r="B724" t="str">
            <v>D-SPLT</v>
          </cell>
          <cell r="C724" t="str">
            <v>VAR_fin</v>
          </cell>
          <cell r="D724" t="str">
            <v>PLT</v>
          </cell>
          <cell r="E724">
            <v>2.0856467596463988</v>
          </cell>
          <cell r="F724">
            <v>2.4001010381302459</v>
          </cell>
          <cell r="G724">
            <v>0.29185545219730624</v>
          </cell>
          <cell r="H724">
            <v>0.25531541080899062</v>
          </cell>
          <cell r="I724">
            <v>0.13223701206552868</v>
          </cell>
          <cell r="J724">
            <v>4.3629461043107616E-2</v>
          </cell>
        </row>
        <row r="725">
          <cell r="B725" t="str">
            <v>RHES-ESOLPV</v>
          </cell>
          <cell r="C725" t="str">
            <v>VAR_fout</v>
          </cell>
          <cell r="D725" t="str">
            <v>RHES_SOL_ELC</v>
          </cell>
          <cell r="E725">
            <v>2.1349390887346629</v>
          </cell>
          <cell r="F725">
            <v>3.3906652963377337</v>
          </cell>
          <cell r="G725">
            <v>4.0404898697841167</v>
          </cell>
          <cell r="H725">
            <v>4.3440959230364573</v>
          </cell>
          <cell r="I725">
            <v>1.5481720979899121</v>
          </cell>
          <cell r="J725">
            <v>8.7302494344871709E-3</v>
          </cell>
        </row>
        <row r="726">
          <cell r="B726" t="str">
            <v>RHES-ESOLPV</v>
          </cell>
          <cell r="C726" t="str">
            <v>VAR_fin</v>
          </cell>
          <cell r="D726" t="str">
            <v>SOL</v>
          </cell>
          <cell r="E726">
            <v>2.1349390887346629</v>
          </cell>
          <cell r="F726">
            <v>3.3906652963377337</v>
          </cell>
          <cell r="G726">
            <v>4.0404898697841167</v>
          </cell>
          <cell r="H726">
            <v>4.3440959230364573</v>
          </cell>
          <cell r="I726">
            <v>1.5481720979899121</v>
          </cell>
          <cell r="J726">
            <v>8.7302494344871709E-3</v>
          </cell>
        </row>
        <row r="727">
          <cell r="B727" t="str">
            <v>RHES-ESOLPV</v>
          </cell>
          <cell r="C727" t="str">
            <v>VAR_fin</v>
          </cell>
          <cell r="D727" t="str">
            <v>SOLPVC</v>
          </cell>
          <cell r="E727">
            <v>2.1349390887346602</v>
          </cell>
          <cell r="F727">
            <v>3.3906652963377302</v>
          </cell>
          <cell r="G727">
            <v>4.0404898697841203</v>
          </cell>
          <cell r="H727">
            <v>4.34409592303646</v>
          </cell>
          <cell r="I727">
            <v>1.5481720979899101</v>
          </cell>
          <cell r="J727">
            <v>8.7302494344871796E-3</v>
          </cell>
        </row>
        <row r="728">
          <cell r="B728" t="str">
            <v>RHES-ESOLPV</v>
          </cell>
          <cell r="C728" t="str">
            <v>VAR_ncap</v>
          </cell>
          <cell r="D728" t="str">
            <v>-</v>
          </cell>
          <cell r="F728">
            <v>5.0075587871769898E-8</v>
          </cell>
          <cell r="G728">
            <v>1.64827513574676E-6</v>
          </cell>
          <cell r="H728">
            <v>2.54570559563808E-7</v>
          </cell>
          <cell r="I728">
            <v>7.7546810371964797E-6</v>
          </cell>
          <cell r="J728">
            <v>2.510822781412E-3</v>
          </cell>
        </row>
        <row r="729">
          <cell r="B729" t="str">
            <v>RHES-ESOLPV</v>
          </cell>
          <cell r="C729" t="str">
            <v>VAR_cap</v>
          </cell>
          <cell r="D729" t="str">
            <v>-</v>
          </cell>
          <cell r="E729">
            <v>0.67885700000000004</v>
          </cell>
          <cell r="F729">
            <v>1.1558999677537378</v>
          </cell>
          <cell r="G729">
            <v>1.2891586983507237</v>
          </cell>
          <cell r="H729">
            <v>1.2522761179776631</v>
          </cell>
          <cell r="I729">
            <v>0.44629716145895326</v>
          </cell>
          <cell r="J729">
            <v>2.5211863368741101E-3</v>
          </cell>
        </row>
        <row r="730">
          <cell r="B730" t="str">
            <v>SUP_DAC</v>
          </cell>
          <cell r="C730" t="str">
            <v>VAR_fout</v>
          </cell>
          <cell r="D730" t="str">
            <v>CO2_O</v>
          </cell>
          <cell r="I730">
            <v>1.9210195111377031E-3</v>
          </cell>
          <cell r="J730">
            <v>5.9423579808010656E-2</v>
          </cell>
        </row>
        <row r="731">
          <cell r="B731" t="str">
            <v>SUP_DAC</v>
          </cell>
          <cell r="C731" t="str">
            <v>VAR_fout</v>
          </cell>
          <cell r="D731" t="str">
            <v>CO2</v>
          </cell>
          <cell r="I731">
            <v>-1.9210195111377E-3</v>
          </cell>
          <cell r="J731">
            <v>-5.9423579808010697E-2</v>
          </cell>
        </row>
        <row r="732">
          <cell r="B732" t="str">
            <v>SUP_DAC</v>
          </cell>
          <cell r="C732" t="str">
            <v>VAR_fin</v>
          </cell>
          <cell r="D732" t="str">
            <v>CHEAT</v>
          </cell>
          <cell r="I732">
            <v>1.2773205142909051E-5</v>
          </cell>
          <cell r="J732">
            <v>3.7875225949761539E-4</v>
          </cell>
        </row>
        <row r="733">
          <cell r="B733" t="str">
            <v>SUP_DAC</v>
          </cell>
          <cell r="C733" t="str">
            <v>VAR_fin</v>
          </cell>
          <cell r="D733" t="str">
            <v>CELC</v>
          </cell>
          <cell r="I733">
            <v>2.6638137221109489E-6</v>
          </cell>
          <cell r="J733">
            <v>5.4075457625289727E-5</v>
          </cell>
        </row>
        <row r="734">
          <cell r="B734" t="str">
            <v>SUP_DAC</v>
          </cell>
          <cell r="C734" t="str">
            <v>VAR_ncap</v>
          </cell>
          <cell r="D734" t="str">
            <v>-</v>
          </cell>
          <cell r="I734">
            <v>2.12195241514991E-3</v>
          </cell>
          <cell r="J734">
            <v>6.68579412724682E-3</v>
          </cell>
        </row>
        <row r="735">
          <cell r="B735" t="str">
            <v>SUP_DAC</v>
          </cell>
          <cell r="C735" t="str">
            <v>VAR_cap</v>
          </cell>
          <cell r="D735" t="str">
            <v>-</v>
          </cell>
          <cell r="I735">
            <v>2.12195241514991E-3</v>
          </cell>
          <cell r="J735">
            <v>8.2160205190614129E-3</v>
          </cell>
        </row>
        <row r="736">
          <cell r="B736" t="str">
            <v>EHYD-DAM10</v>
          </cell>
          <cell r="C736" t="str">
            <v>VAR_fout</v>
          </cell>
          <cell r="D736" t="str">
            <v>ELC</v>
          </cell>
          <cell r="F736">
            <v>0.23599450870035138</v>
          </cell>
          <cell r="G736">
            <v>0.29756667571250406</v>
          </cell>
          <cell r="H736">
            <v>0.69414879501003546</v>
          </cell>
          <cell r="I736">
            <v>0.7361331519886144</v>
          </cell>
          <cell r="J736">
            <v>0.66488791688591686</v>
          </cell>
        </row>
        <row r="737">
          <cell r="B737" t="str">
            <v>EHYD-DAM10</v>
          </cell>
          <cell r="C737" t="str">
            <v>VAR_fin</v>
          </cell>
          <cell r="D737" t="str">
            <v>HYDD</v>
          </cell>
          <cell r="F737">
            <v>0.23599450870035138</v>
          </cell>
          <cell r="G737">
            <v>0.29756667571250406</v>
          </cell>
          <cell r="H737">
            <v>0.69414879501003546</v>
          </cell>
          <cell r="I737">
            <v>0.7361331519886144</v>
          </cell>
          <cell r="J737">
            <v>0.66488791688591686</v>
          </cell>
        </row>
        <row r="738">
          <cell r="B738" t="str">
            <v>EHYD-DAM10</v>
          </cell>
          <cell r="C738" t="str">
            <v>VAR_ncap</v>
          </cell>
          <cell r="D738" t="str">
            <v>-</v>
          </cell>
          <cell r="F738">
            <v>3.4074841231231202E-2</v>
          </cell>
          <cell r="G738">
            <v>2.1099019059780198E-5</v>
          </cell>
          <cell r="H738">
            <v>4.0942644431288297E-2</v>
          </cell>
          <cell r="I738">
            <v>2.1056643876557201E-6</v>
          </cell>
          <cell r="J738">
            <v>1.6098094635818201E-7</v>
          </cell>
        </row>
        <row r="739">
          <cell r="B739" t="str">
            <v>EHYD-DAM10</v>
          </cell>
          <cell r="C739" t="str">
            <v>VAR_cap</v>
          </cell>
          <cell r="D739" t="str">
            <v>-</v>
          </cell>
          <cell r="F739">
            <v>3.4074841231231202E-2</v>
          </cell>
          <cell r="G739">
            <v>3.4095940250291001E-2</v>
          </cell>
          <cell r="H739">
            <v>7.5038584681579298E-2</v>
          </cell>
          <cell r="I739">
            <v>7.52588070651172E-2</v>
          </cell>
          <cell r="J739">
            <v>7.5258968046063607E-2</v>
          </cell>
        </row>
        <row r="740">
          <cell r="B740" t="str">
            <v>DH-EBAT</v>
          </cell>
          <cell r="C740" t="str">
            <v>VAR_fout</v>
          </cell>
          <cell r="D740" t="str">
            <v>ELC35</v>
          </cell>
          <cell r="E740">
            <v>8.406279389629203E-3</v>
          </cell>
          <cell r="F740">
            <v>6.499318455307778E-3</v>
          </cell>
          <cell r="G740">
            <v>8.2160486577868078E-3</v>
          </cell>
          <cell r="H740">
            <v>8.9892032405256735E-3</v>
          </cell>
          <cell r="I740">
            <v>3.0367167908718247E-3</v>
          </cell>
          <cell r="J740">
            <v>9.9488832572385721E-2</v>
          </cell>
        </row>
        <row r="741">
          <cell r="B741" t="str">
            <v>DH-EBAT</v>
          </cell>
          <cell r="C741" t="str">
            <v>VAR_fout</v>
          </cell>
          <cell r="D741" t="str">
            <v>AUX_DH-EBAT_OUT</v>
          </cell>
          <cell r="E741">
            <v>8.4062793896291996E-3</v>
          </cell>
          <cell r="F741">
            <v>6.4993184553077772E-3</v>
          </cell>
          <cell r="G741">
            <v>8.2160486577868008E-3</v>
          </cell>
          <cell r="H741">
            <v>8.98920324052567E-3</v>
          </cell>
          <cell r="I741">
            <v>3.0367167908718238E-3</v>
          </cell>
          <cell r="J741">
            <v>9.9488832572385694E-2</v>
          </cell>
        </row>
        <row r="742">
          <cell r="B742" t="str">
            <v>DH-EBAT</v>
          </cell>
          <cell r="C742" t="str">
            <v>VAR_fin</v>
          </cell>
          <cell r="D742" t="str">
            <v>ELC35</v>
          </cell>
          <cell r="E742">
            <v>9.4078962495331118E-3</v>
          </cell>
          <cell r="F742">
            <v>7.2692596055969659E-3</v>
          </cell>
          <cell r="G742">
            <v>9.1908715830686764E-3</v>
          </cell>
          <cell r="H742">
            <v>1.0057060510688977E-2</v>
          </cell>
          <cell r="I742">
            <v>3.397889005046343E-3</v>
          </cell>
          <cell r="J742">
            <v>0.11125209866505022</v>
          </cell>
        </row>
        <row r="743">
          <cell r="B743" t="str">
            <v>DH-EBAT</v>
          </cell>
          <cell r="C743" t="str">
            <v>VAR_fin</v>
          </cell>
          <cell r="D743" t="str">
            <v>AUX_DH-EBAT_IN</v>
          </cell>
          <cell r="E743">
            <v>9.4078962495331118E-3</v>
          </cell>
          <cell r="F743">
            <v>7.2692596055969659E-3</v>
          </cell>
          <cell r="G743">
            <v>9.1908715830686764E-3</v>
          </cell>
          <cell r="H743">
            <v>1.0057060510688977E-2</v>
          </cell>
          <cell r="I743">
            <v>3.397889005046343E-3</v>
          </cell>
          <cell r="J743">
            <v>0.11125209866505022</v>
          </cell>
        </row>
        <row r="744">
          <cell r="B744" t="str">
            <v>DH-EBAT</v>
          </cell>
          <cell r="C744" t="str">
            <v>VAR_ncap</v>
          </cell>
          <cell r="D744" t="str">
            <v>-</v>
          </cell>
          <cell r="E744">
            <v>1.1729823416424001E-3</v>
          </cell>
          <cell r="F744">
            <v>1.7639905811766301E-6</v>
          </cell>
          <cell r="G744">
            <v>7.9068179204781493E-6</v>
          </cell>
          <cell r="H744">
            <v>3.73496349617104E-4</v>
          </cell>
          <cell r="I744">
            <v>3.4829391741416798E-3</v>
          </cell>
          <cell r="J744">
            <v>0.34863497822676898</v>
          </cell>
        </row>
        <row r="745">
          <cell r="B745" t="str">
            <v>DH-EBAT</v>
          </cell>
          <cell r="C745" t="str">
            <v>VAR_cap</v>
          </cell>
          <cell r="D745" t="str">
            <v>-</v>
          </cell>
          <cell r="E745">
            <v>1.1729823416424001E-3</v>
          </cell>
          <cell r="F745">
            <v>1.1737884817558701E-3</v>
          </cell>
          <cell r="G745">
            <v>1.1811590944569128E-3</v>
          </cell>
          <cell r="H745">
            <v>1.2393395933987981E-3</v>
          </cell>
          <cell r="I745">
            <v>4.5659287297140777E-3</v>
          </cell>
          <cell r="J745">
            <v>0.35055919223813226</v>
          </cell>
        </row>
        <row r="746">
          <cell r="B746" t="str">
            <v>RHEM-EBAT</v>
          </cell>
          <cell r="C746" t="str">
            <v>VAR_fout</v>
          </cell>
          <cell r="D746" t="str">
            <v>RHEM_ELC</v>
          </cell>
          <cell r="E746">
            <v>2.6975189687439612E-3</v>
          </cell>
          <cell r="F746">
            <v>2.6737294112056287E-3</v>
          </cell>
          <cell r="G746">
            <v>2.6882020525683418E-3</v>
          </cell>
          <cell r="H746">
            <v>3.5864395222924693E-2</v>
          </cell>
          <cell r="I746">
            <v>2.4567066876976713E-3</v>
          </cell>
          <cell r="J746">
            <v>2.2984446156531609E-2</v>
          </cell>
        </row>
        <row r="747">
          <cell r="B747" t="str">
            <v>RHEM-EBAT</v>
          </cell>
          <cell r="C747" t="str">
            <v>VAR_fout</v>
          </cell>
          <cell r="D747" t="str">
            <v>AUX_RHEM-EBAT_OUT</v>
          </cell>
          <cell r="E747">
            <v>2.6975189687439638E-3</v>
          </cell>
          <cell r="F747">
            <v>2.6737294112056317E-3</v>
          </cell>
          <cell r="G747">
            <v>2.6882020525683436E-3</v>
          </cell>
          <cell r="H747">
            <v>3.5864395222924714E-2</v>
          </cell>
          <cell r="I747">
            <v>2.4567066876976735E-3</v>
          </cell>
          <cell r="J747">
            <v>2.2984446156531627E-2</v>
          </cell>
        </row>
        <row r="748">
          <cell r="B748" t="str">
            <v>RHEM-EBAT</v>
          </cell>
          <cell r="C748" t="str">
            <v>VAR_fin</v>
          </cell>
          <cell r="D748" t="str">
            <v>RHEM_ELC</v>
          </cell>
          <cell r="E748">
            <v>3.0088736886574011E-3</v>
          </cell>
          <cell r="F748">
            <v>2.9783105474341042E-3</v>
          </cell>
          <cell r="G748">
            <v>2.9762430174428006E-3</v>
          </cell>
          <cell r="H748">
            <v>3.9660462526656975E-2</v>
          </cell>
          <cell r="I748">
            <v>2.7188177930689531E-3</v>
          </cell>
          <cell r="J748">
            <v>2.5419722220543745E-2</v>
          </cell>
        </row>
        <row r="749">
          <cell r="B749" t="str">
            <v>RHEM-EBAT</v>
          </cell>
          <cell r="C749" t="str">
            <v>VAR_fin</v>
          </cell>
          <cell r="D749" t="str">
            <v>AUX_RHEM-EBAT_IN</v>
          </cell>
          <cell r="E749">
            <v>3.0088736886574011E-3</v>
          </cell>
          <cell r="F749">
            <v>2.9783105474341042E-3</v>
          </cell>
          <cell r="G749">
            <v>2.9762430174428006E-3</v>
          </cell>
          <cell r="H749">
            <v>3.9660462526656975E-2</v>
          </cell>
          <cell r="I749">
            <v>2.7188177930689531E-3</v>
          </cell>
          <cell r="J749">
            <v>2.5419722220543745E-2</v>
          </cell>
        </row>
        <row r="750">
          <cell r="B750" t="str">
            <v>RHEM-EBAT</v>
          </cell>
          <cell r="C750" t="str">
            <v>VAR_ncap</v>
          </cell>
          <cell r="D750" t="str">
            <v>-</v>
          </cell>
          <cell r="E750">
            <v>1.0979556453162499E-3</v>
          </cell>
          <cell r="F750">
            <v>1.73878867358599E-6</v>
          </cell>
          <cell r="G750">
            <v>5.0737233712581201E-6</v>
          </cell>
          <cell r="H750">
            <v>1.3880959983303401E-2</v>
          </cell>
          <cell r="I750">
            <v>2.7364128199907901E-2</v>
          </cell>
          <cell r="J750">
            <v>3.9018370611583003E-2</v>
          </cell>
        </row>
        <row r="751">
          <cell r="B751" t="str">
            <v>RHEM-EBAT</v>
          </cell>
          <cell r="C751" t="str">
            <v>VAR_cap</v>
          </cell>
          <cell r="D751" t="str">
            <v>-</v>
          </cell>
          <cell r="E751">
            <v>1.1005824089924566E-3</v>
          </cell>
          <cell r="F751">
            <v>1.1016221449811716E-3</v>
          </cell>
          <cell r="G751">
            <v>1.1057331038375597E-3</v>
          </cell>
          <cell r="H751">
            <v>1.4688884752874764E-2</v>
          </cell>
          <cell r="I751">
            <v>3.376499422504891E-2</v>
          </cell>
          <cell r="J751">
            <v>5.3432903684393768E-2</v>
          </cell>
        </row>
        <row r="752">
          <cell r="B752" t="str">
            <v>HPLGEO</v>
          </cell>
          <cell r="C752" t="str">
            <v>VAR_fout</v>
          </cell>
          <cell r="D752" t="str">
            <v>LTH</v>
          </cell>
          <cell r="I752">
            <v>2.5740021049843294</v>
          </cell>
          <cell r="J752">
            <v>5.1430182043287713</v>
          </cell>
        </row>
        <row r="753">
          <cell r="B753" t="str">
            <v>HPLGEO</v>
          </cell>
          <cell r="C753" t="str">
            <v>VAR_fin</v>
          </cell>
          <cell r="D753" t="str">
            <v>GEO</v>
          </cell>
          <cell r="I753">
            <v>3.0282377705697998</v>
          </cell>
          <cell r="J753">
            <v>6.050609652151496</v>
          </cell>
        </row>
        <row r="754">
          <cell r="B754" t="str">
            <v>HPLGEO</v>
          </cell>
          <cell r="C754" t="str">
            <v>VAR_ncap</v>
          </cell>
          <cell r="D754" t="str">
            <v>-</v>
          </cell>
          <cell r="I754">
            <v>9.6024959481088898E-2</v>
          </cell>
          <cell r="J754">
            <v>9.5838752551381495E-2</v>
          </cell>
        </row>
        <row r="755">
          <cell r="B755" t="str">
            <v>HPLGEO</v>
          </cell>
          <cell r="C755" t="str">
            <v>VAR_cap</v>
          </cell>
          <cell r="D755" t="str">
            <v>-</v>
          </cell>
          <cell r="I755">
            <v>9.6024959481088898E-2</v>
          </cell>
          <cell r="J755">
            <v>0.19186371203246999</v>
          </cell>
        </row>
        <row r="756">
          <cell r="B756" t="str">
            <v>CT_CWODBDSCCS</v>
          </cell>
          <cell r="C756" t="str">
            <v>VAR_fout</v>
          </cell>
          <cell r="D756" t="str">
            <v>CO2_O</v>
          </cell>
          <cell r="I756">
            <v>6.6873267533560281E-3</v>
          </cell>
          <cell r="J756">
            <v>49.939100135273691</v>
          </cell>
        </row>
        <row r="757">
          <cell r="B757" t="str">
            <v>CT_CWODBDSCCS</v>
          </cell>
          <cell r="C757" t="str">
            <v>VAR_fout</v>
          </cell>
          <cell r="D757" t="str">
            <v>CO2</v>
          </cell>
          <cell r="I757">
            <v>-6.6873267533560299E-3</v>
          </cell>
          <cell r="J757">
            <v>-49.939100135273598</v>
          </cell>
        </row>
        <row r="758">
          <cell r="B758" t="str">
            <v>CT_CWODBDSCCS</v>
          </cell>
          <cell r="C758" t="str">
            <v>VAR_fout</v>
          </cell>
          <cell r="D758" t="str">
            <v>BDS</v>
          </cell>
          <cell r="I758">
            <v>3.7417764133767801E-5</v>
          </cell>
          <cell r="J758">
            <v>0.27942547729950917</v>
          </cell>
        </row>
        <row r="759">
          <cell r="B759" t="str">
            <v>CT_CWODBDSCCS</v>
          </cell>
          <cell r="C759" t="str">
            <v>VAR_fout</v>
          </cell>
          <cell r="D759" t="str">
            <v>LTH</v>
          </cell>
          <cell r="I759">
            <v>1.4592928012169423E-5</v>
          </cell>
          <cell r="J759">
            <v>0.10897593614680841</v>
          </cell>
        </row>
        <row r="760">
          <cell r="B760" t="str">
            <v>CT_CWODBDSCCS</v>
          </cell>
          <cell r="C760" t="str">
            <v>VAR_fin</v>
          </cell>
          <cell r="D760" t="str">
            <v>CWOD</v>
          </cell>
          <cell r="I760">
            <v>1.0662191889917131E-4</v>
          </cell>
          <cell r="J760">
            <v>0.79622289756495013</v>
          </cell>
        </row>
        <row r="761">
          <cell r="B761" t="str">
            <v>CT_CWODBDSCCS</v>
          </cell>
          <cell r="C761" t="str">
            <v>VAR_fin</v>
          </cell>
          <cell r="D761" t="str">
            <v>CELC</v>
          </cell>
          <cell r="I761">
            <v>4.8295642706941745E-6</v>
          </cell>
          <cell r="J761">
            <v>3.6065845534300874E-2</v>
          </cell>
        </row>
        <row r="762">
          <cell r="B762" t="str">
            <v>CT_CWODBDSCCS</v>
          </cell>
          <cell r="C762" t="str">
            <v>VAR_ncap</v>
          </cell>
          <cell r="D762" t="str">
            <v>-</v>
          </cell>
          <cell r="I762">
            <v>2.8903225206738699E-5</v>
          </cell>
          <cell r="J762">
            <v>4.9353475132872998E-2</v>
          </cell>
        </row>
        <row r="763">
          <cell r="B763" t="str">
            <v>CT_CWODBDSCCS</v>
          </cell>
          <cell r="C763" t="str">
            <v>VAR_cap</v>
          </cell>
          <cell r="D763" t="str">
            <v>-</v>
          </cell>
          <cell r="I763">
            <v>2.8903225206738699E-5</v>
          </cell>
          <cell r="J763">
            <v>4.93823783580798E-2</v>
          </cell>
        </row>
        <row r="764">
          <cell r="B764" t="str">
            <v>EHYD-PUM15</v>
          </cell>
          <cell r="C764" t="str">
            <v>VAR_fout</v>
          </cell>
          <cell r="D764" t="str">
            <v>ELC</v>
          </cell>
          <cell r="F764">
            <v>4.0390074903933265E-3</v>
          </cell>
          <cell r="G764">
            <v>5.1988117737355299E-3</v>
          </cell>
          <cell r="H764">
            <v>6.6434240235305605E-3</v>
          </cell>
          <cell r="I764">
            <v>4.7735448577515358E-3</v>
          </cell>
          <cell r="J764">
            <v>9.5506319200567152E-3</v>
          </cell>
        </row>
        <row r="765">
          <cell r="B765" t="str">
            <v>EHYD-PUM15</v>
          </cell>
          <cell r="C765" t="str">
            <v>VAR_fout</v>
          </cell>
          <cell r="D765" t="str">
            <v>AUX_PUMP_OUT</v>
          </cell>
          <cell r="F765">
            <v>4.0390074903933265E-3</v>
          </cell>
          <cell r="G765">
            <v>5.1988117737355299E-3</v>
          </cell>
          <cell r="H765">
            <v>6.6434240235305605E-3</v>
          </cell>
          <cell r="I765">
            <v>4.7735448577515358E-3</v>
          </cell>
          <cell r="J765">
            <v>9.5506319200567152E-3</v>
          </cell>
        </row>
        <row r="766">
          <cell r="B766" t="str">
            <v>EHYD-PUM15</v>
          </cell>
          <cell r="C766" t="str">
            <v>VAR_fin</v>
          </cell>
          <cell r="D766" t="str">
            <v>AUX_PUMP_IN</v>
          </cell>
          <cell r="F766">
            <v>5.0544395531769721E-3</v>
          </cell>
          <cell r="G766">
            <v>6.5032542148916366E-3</v>
          </cell>
          <cell r="H766">
            <v>8.3040987467406183E-3</v>
          </cell>
          <cell r="I766">
            <v>5.9649975342573481E-3</v>
          </cell>
          <cell r="J766">
            <v>1.1936486540865454E-2</v>
          </cell>
        </row>
        <row r="767">
          <cell r="B767" t="str">
            <v>EHYD-PUM15</v>
          </cell>
          <cell r="C767" t="str">
            <v>VAR_fin</v>
          </cell>
          <cell r="D767" t="str">
            <v>ELC</v>
          </cell>
          <cell r="F767">
            <v>5.0544395531769721E-3</v>
          </cell>
          <cell r="G767">
            <v>6.5032542148916366E-3</v>
          </cell>
          <cell r="H767">
            <v>8.3040987467406183E-3</v>
          </cell>
          <cell r="I767">
            <v>5.9649975342573481E-3</v>
          </cell>
          <cell r="J767">
            <v>1.1936486540865454E-2</v>
          </cell>
        </row>
        <row r="768">
          <cell r="B768" t="str">
            <v>EHYD-PUM15</v>
          </cell>
          <cell r="C768" t="str">
            <v>VAR_ncap</v>
          </cell>
          <cell r="D768" t="str">
            <v>-</v>
          </cell>
          <cell r="F768">
            <v>5.1822093058165796E-4</v>
          </cell>
          <cell r="G768">
            <v>1.04018679950445E-7</v>
          </cell>
          <cell r="H768">
            <v>2.0269123087169901E-7</v>
          </cell>
          <cell r="I768">
            <v>3.9069249782380902E-4</v>
          </cell>
          <cell r="J768">
            <v>9.6277375102145595E-4</v>
          </cell>
        </row>
        <row r="769">
          <cell r="B769" t="str">
            <v>EHYD-PUM15</v>
          </cell>
          <cell r="C769" t="str">
            <v>VAR_cap</v>
          </cell>
          <cell r="D769" t="str">
            <v>-</v>
          </cell>
          <cell r="F769">
            <v>5.1822093058165796E-4</v>
          </cell>
          <cell r="G769">
            <v>5.1822093058165796E-4</v>
          </cell>
          <cell r="H769">
            <v>5.1822093058165796E-4</v>
          </cell>
          <cell r="I769">
            <v>5.1852764049247998E-4</v>
          </cell>
          <cell r="J769">
            <v>1.20486573813337E-3</v>
          </cell>
        </row>
        <row r="770">
          <cell r="B770" t="str">
            <v>D-EWST</v>
          </cell>
          <cell r="C770" t="str">
            <v>VAR_fout</v>
          </cell>
          <cell r="D770" t="str">
            <v>CO2</v>
          </cell>
          <cell r="E770">
            <v>2266.2774200880499</v>
          </cell>
          <cell r="F770">
            <v>2235.4037783806898</v>
          </cell>
          <cell r="G770">
            <v>2268.7804569479399</v>
          </cell>
          <cell r="H770">
            <v>2238.51245301885</v>
          </cell>
          <cell r="I770">
            <v>2288.7615342296799</v>
          </cell>
          <cell r="J770">
            <v>2340.5669677109199</v>
          </cell>
        </row>
        <row r="771">
          <cell r="B771" t="str">
            <v>D-EWST</v>
          </cell>
          <cell r="C771" t="str">
            <v>VAR_fout</v>
          </cell>
          <cell r="D771" t="str">
            <v>EWST</v>
          </cell>
          <cell r="E771">
            <v>48.842185777759795</v>
          </cell>
          <cell r="F771">
            <v>48.176813941725904</v>
          </cell>
          <cell r="G771">
            <v>48.896133960735995</v>
          </cell>
          <cell r="H771">
            <v>48.243794609733463</v>
          </cell>
          <cell r="I771">
            <v>49.326757203225874</v>
          </cell>
          <cell r="J771">
            <v>50.443253614459536</v>
          </cell>
        </row>
        <row r="772">
          <cell r="B772" t="str">
            <v>D-EWST</v>
          </cell>
          <cell r="C772" t="str">
            <v>VAR_fin</v>
          </cell>
          <cell r="D772" t="str">
            <v>WSTNREN</v>
          </cell>
          <cell r="E772">
            <v>24.421092888879887</v>
          </cell>
          <cell r="F772">
            <v>24.088402784274738</v>
          </cell>
          <cell r="G772">
            <v>24.448065268835506</v>
          </cell>
          <cell r="H772">
            <v>24.121901433392839</v>
          </cell>
          <cell r="I772">
            <v>24.663378601612937</v>
          </cell>
          <cell r="J772">
            <v>25.221626807229775</v>
          </cell>
        </row>
        <row r="773">
          <cell r="B773" t="str">
            <v>D-EWST</v>
          </cell>
          <cell r="C773" t="str">
            <v>VAR_fin</v>
          </cell>
          <cell r="D773" t="str">
            <v>WSTREN</v>
          </cell>
          <cell r="E773">
            <v>24.421092888879887</v>
          </cell>
          <cell r="F773">
            <v>24.088402784274738</v>
          </cell>
          <cell r="G773">
            <v>24.448065268835506</v>
          </cell>
          <cell r="H773">
            <v>24.121901433392839</v>
          </cell>
          <cell r="I773">
            <v>24.663378601612937</v>
          </cell>
          <cell r="J773">
            <v>25.221626807229775</v>
          </cell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281.14131521852693</v>
          </cell>
          <cell r="E4">
            <v>393.42930924456118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43.398388438210866</v>
          </cell>
          <cell r="E5">
            <v>16.652621011590195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237.37930024193435</v>
          </cell>
          <cell r="E6">
            <v>34.041809100619346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0.36362653838187931</v>
          </cell>
          <cell r="E7">
            <v>342.73487913235113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8.1528352590009151E-2</v>
          </cell>
          <cell r="E8">
            <v>1152.3361505423268</v>
          </cell>
        </row>
        <row r="9">
          <cell r="A9" t="str">
            <v>CO2_O</v>
          </cell>
          <cell r="B9" t="str">
            <v>VAR_fout</v>
          </cell>
          <cell r="C9" t="str">
            <v>ENGA-CCS</v>
          </cell>
          <cell r="D9">
            <v>3.7439220534547152E-2</v>
          </cell>
          <cell r="E9">
            <v>62.386123804942677</v>
          </cell>
        </row>
        <row r="10">
          <cell r="A10" t="str">
            <v>CO2_O</v>
          </cell>
          <cell r="B10" t="str">
            <v>VAR_fout</v>
          </cell>
          <cell r="C10" t="str">
            <v>CHPWSTCCS</v>
          </cell>
          <cell r="D10">
            <v>8.0011803040532445E-2</v>
          </cell>
          <cell r="E10">
            <v>1099.4994329312917</v>
          </cell>
        </row>
        <row r="11">
          <cell r="A11" t="str">
            <v>CO2_O</v>
          </cell>
          <cell r="B11" t="str">
            <v>VAR_fout</v>
          </cell>
          <cell r="C11" t="str">
            <v>ITOT-CHPWSTCCS</v>
          </cell>
          <cell r="D11">
            <v>3.4905463020559274E-2</v>
          </cell>
          <cell r="E11">
            <v>722.30819391589989</v>
          </cell>
        </row>
        <row r="12">
          <cell r="A12" t="str">
            <v>CO2_O</v>
          </cell>
          <cell r="B12" t="str">
            <v>VAR_fout</v>
          </cell>
          <cell r="C12" t="str">
            <v>ITOT-CHPNGACCS</v>
          </cell>
          <cell r="D12">
            <v>4.7855551046271191E-2</v>
          </cell>
          <cell r="E12">
            <v>8.0504061188859458E-2</v>
          </cell>
        </row>
        <row r="13">
          <cell r="A13" t="str">
            <v>CO2_O</v>
          </cell>
          <cell r="B13" t="str">
            <v>VAR_fout</v>
          </cell>
          <cell r="C13" t="str">
            <v>SUP_WSTHTGBIOCCS</v>
          </cell>
          <cell r="D13">
            <v>4.046783294333103E-3</v>
          </cell>
          <cell r="E13">
            <v>4.5526899524344451</v>
          </cell>
        </row>
        <row r="14">
          <cell r="A14" t="str">
            <v>CO2_O</v>
          </cell>
          <cell r="B14" t="str">
            <v>VAR_fout</v>
          </cell>
          <cell r="C14" t="str">
            <v>ITOT-CHPWODCCS</v>
          </cell>
          <cell r="D14">
            <v>280.86856081131464</v>
          </cell>
          <cell r="E14">
            <v>653.39047147396991</v>
          </cell>
        </row>
        <row r="15">
          <cell r="A15" t="str">
            <v>CO2_O</v>
          </cell>
          <cell r="B15" t="str">
            <v>VAR_fout</v>
          </cell>
          <cell r="C15" t="str">
            <v>EWOD-CCS</v>
          </cell>
          <cell r="D15">
            <v>3.9635888887465609E-2</v>
          </cell>
          <cell r="E15">
            <v>301.2381542314339</v>
          </cell>
        </row>
        <row r="16">
          <cell r="A16" t="str">
            <v>CO2_O</v>
          </cell>
          <cell r="B16" t="str">
            <v>VAR_fout</v>
          </cell>
          <cell r="C16" t="str">
            <v>ITOT-PROCESSCO2CCS</v>
          </cell>
          <cell r="D16">
            <v>6.1222863012156559E-3</v>
          </cell>
          <cell r="E16">
            <v>773.51057987077559</v>
          </cell>
        </row>
        <row r="17">
          <cell r="A17" t="str">
            <v>CO2_O</v>
          </cell>
          <cell r="B17" t="str">
            <v>VAR_fout</v>
          </cell>
          <cell r="C17" t="str">
            <v>SUP_WODH2CCS</v>
          </cell>
          <cell r="E17">
            <v>844.64985796295468</v>
          </cell>
        </row>
        <row r="18">
          <cell r="A18" t="str">
            <v>CO2_O</v>
          </cell>
          <cell r="B18" t="str">
            <v>VAR_fout</v>
          </cell>
          <cell r="C18" t="str">
            <v>SUP_WODBIOCCS</v>
          </cell>
          <cell r="D18">
            <v>1.7489488463811553E-2</v>
          </cell>
          <cell r="E18">
            <v>27.521561285552231</v>
          </cell>
        </row>
        <row r="19">
          <cell r="A19" t="str">
            <v>CO2_O</v>
          </cell>
          <cell r="B19" t="str">
            <v>VAR_fout</v>
          </cell>
          <cell r="C19" t="str">
            <v>SUP_NGAH2CCS</v>
          </cell>
          <cell r="E19">
            <v>2.6188096920448682E-3</v>
          </cell>
        </row>
        <row r="20">
          <cell r="A20" t="str">
            <v>CO2_O</v>
          </cell>
          <cell r="B20" t="str">
            <v>VAR_fout</v>
          </cell>
          <cell r="C20" t="str">
            <v>CT_CWODETHCCS</v>
          </cell>
          <cell r="D20">
            <v>3.9650743890769886E-4</v>
          </cell>
          <cell r="E20">
            <v>1.6525682290281982E-4</v>
          </cell>
        </row>
        <row r="21">
          <cell r="A21" t="str">
            <v>CO2_O</v>
          </cell>
          <cell r="B21" t="str">
            <v>VAR_fout</v>
          </cell>
          <cell r="C21" t="str">
            <v>SUP_DAC</v>
          </cell>
          <cell r="D21">
            <v>1.9210195111377031E-3</v>
          </cell>
          <cell r="E21">
            <v>5.9423579808010656E-2</v>
          </cell>
        </row>
        <row r="22">
          <cell r="A22" t="str">
            <v>CO2_O</v>
          </cell>
          <cell r="B22" t="str">
            <v>VAR_fout</v>
          </cell>
          <cell r="C22" t="str">
            <v>CT_CWODBDSCCS</v>
          </cell>
          <cell r="D22">
            <v>6.6873267533560281E-3</v>
          </cell>
          <cell r="E22">
            <v>49.939100135273691</v>
          </cell>
        </row>
        <row r="23">
          <cell r="A23" t="str">
            <v>CO2_O</v>
          </cell>
          <cell r="B23" t="str">
            <v>VAR_fin</v>
          </cell>
          <cell r="C23" t="str">
            <v>D-CO2_O</v>
          </cell>
          <cell r="D23">
            <v>281.14131521852693</v>
          </cell>
          <cell r="E23">
            <v>5691.3881145122978</v>
          </cell>
        </row>
        <row r="24">
          <cell r="A24" t="str">
            <v>CO2_X</v>
          </cell>
          <cell r="B24" t="str">
            <v>VAR_fout</v>
          </cell>
          <cell r="C24" t="str">
            <v>D-CO2_O</v>
          </cell>
          <cell r="E24">
            <v>5297.9588052677282</v>
          </cell>
        </row>
        <row r="25">
          <cell r="A25" t="str">
            <v>CO2_X</v>
          </cell>
          <cell r="B25" t="str">
            <v>VAR_fin</v>
          </cell>
          <cell r="C25" t="str">
            <v>CO2EXP</v>
          </cell>
          <cell r="E25">
            <v>5297.9588052677282</v>
          </cell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IMPBDS1</v>
          </cell>
          <cell r="C4" t="str">
            <v>BDS1</v>
          </cell>
          <cell r="G4">
            <v>4.696088554058</v>
          </cell>
          <cell r="H4">
            <v>24.214681474889002</v>
          </cell>
          <cell r="I4">
            <v>42.273215185968198</v>
          </cell>
        </row>
        <row r="5">
          <cell r="A5" t="str">
            <v>EXPELC_DE</v>
          </cell>
          <cell r="C5" t="str">
            <v>ELC_E-DE</v>
          </cell>
          <cell r="D5">
            <v>26.492985666738182</v>
          </cell>
          <cell r="E5">
            <v>1.8525769686519055E-3</v>
          </cell>
          <cell r="F5">
            <v>2.1699988003599183E-3</v>
          </cell>
          <cell r="G5">
            <v>1.2998078946820698E-3</v>
          </cell>
          <cell r="H5">
            <v>3.6725748209389653</v>
          </cell>
          <cell r="I5">
            <v>1.1479525672723023</v>
          </cell>
        </row>
        <row r="6">
          <cell r="A6" t="str">
            <v>IMPDSL</v>
          </cell>
          <cell r="C6" t="str">
            <v>DSL</v>
          </cell>
          <cell r="D6">
            <v>120.33096316619769</v>
          </cell>
          <cell r="E6">
            <v>112.68605144279373</v>
          </cell>
          <cell r="F6">
            <v>97.453932545237222</v>
          </cell>
          <cell r="G6">
            <v>72.505570219002138</v>
          </cell>
          <cell r="H6">
            <v>26.594959967855349</v>
          </cell>
        </row>
        <row r="7">
          <cell r="A7" t="str">
            <v>IMPELC_AT</v>
          </cell>
          <cell r="C7" t="str">
            <v>ELC_I-AT</v>
          </cell>
          <cell r="D7">
            <v>15.013827692184012</v>
          </cell>
          <cell r="E7">
            <v>1.0953768841845941</v>
          </cell>
          <cell r="F7">
            <v>0.60007686758916845</v>
          </cell>
          <cell r="G7">
            <v>0.77180831292977747</v>
          </cell>
          <cell r="H7">
            <v>0.58026356181615313</v>
          </cell>
          <cell r="I7">
            <v>0.68247806031119951</v>
          </cell>
        </row>
        <row r="8">
          <cell r="A8" t="str">
            <v>IMPELC_AT</v>
          </cell>
          <cell r="C8" t="str">
            <v>ELCS</v>
          </cell>
          <cell r="D8">
            <v>15.013827692184012</v>
          </cell>
          <cell r="E8">
            <v>1.0953768841845941</v>
          </cell>
          <cell r="F8">
            <v>0.60007686758916845</v>
          </cell>
          <cell r="G8">
            <v>0.77180831292977747</v>
          </cell>
          <cell r="H8">
            <v>0.58026356181615313</v>
          </cell>
          <cell r="I8">
            <v>0.68247806031119951</v>
          </cell>
        </row>
        <row r="9">
          <cell r="A9" t="str">
            <v>IMPELC_FR</v>
          </cell>
          <cell r="C9" t="str">
            <v>ELC_I-FR</v>
          </cell>
          <cell r="D9">
            <v>28.948642347132356</v>
          </cell>
          <cell r="E9">
            <v>21.260067647473043</v>
          </cell>
          <cell r="F9">
            <v>25.967110960254885</v>
          </cell>
          <cell r="G9">
            <v>17.911748406232611</v>
          </cell>
          <cell r="H9">
            <v>11.597881634919071</v>
          </cell>
          <cell r="I9">
            <v>9.0819617670013457</v>
          </cell>
        </row>
        <row r="10">
          <cell r="A10" t="str">
            <v>IMPELC_FR</v>
          </cell>
          <cell r="C10" t="str">
            <v>ELCS</v>
          </cell>
          <cell r="D10">
            <v>28.948642347132356</v>
          </cell>
          <cell r="E10">
            <v>21.260067647473043</v>
          </cell>
          <cell r="F10">
            <v>25.967110960254885</v>
          </cell>
          <cell r="G10">
            <v>17.911748406232611</v>
          </cell>
          <cell r="H10">
            <v>11.597881634919071</v>
          </cell>
          <cell r="I10">
            <v>9.0819617670013457</v>
          </cell>
        </row>
        <row r="11">
          <cell r="A11" t="str">
            <v>RNWHYDR1</v>
          </cell>
          <cell r="C11" t="str">
            <v>HYDR</v>
          </cell>
          <cell r="D11">
            <v>66.632408674137366</v>
          </cell>
          <cell r="E11">
            <v>55.764006095374071</v>
          </cell>
          <cell r="F11">
            <v>65.56260107811633</v>
          </cell>
          <cell r="G11">
            <v>64.934024586346155</v>
          </cell>
          <cell r="H11">
            <v>63.848999302683772</v>
          </cell>
          <cell r="I11">
            <v>67.134993866464768</v>
          </cell>
        </row>
        <row r="12">
          <cell r="A12" t="str">
            <v>EXPELC_IT</v>
          </cell>
          <cell r="C12" t="str">
            <v>ELC_E-IT</v>
          </cell>
          <cell r="D12">
            <v>71.694125006356614</v>
          </cell>
          <cell r="E12">
            <v>35.14503324750833</v>
          </cell>
          <cell r="F12">
            <v>54.788812798537485</v>
          </cell>
          <cell r="G12">
            <v>50.740602316830646</v>
          </cell>
          <cell r="H12">
            <v>17.452222506764574</v>
          </cell>
          <cell r="I12">
            <v>17.670256280450481</v>
          </cell>
        </row>
        <row r="13">
          <cell r="A13" t="str">
            <v>IMPLNG</v>
          </cell>
          <cell r="C13" t="str">
            <v>LBIO</v>
          </cell>
          <cell r="G13">
            <v>1.7994268070595633E-3</v>
          </cell>
          <cell r="H13">
            <v>2.1862223771066487E-4</v>
          </cell>
          <cell r="I13">
            <v>2.8721016225912729E-5</v>
          </cell>
        </row>
        <row r="14">
          <cell r="A14" t="str">
            <v>IMPLNG</v>
          </cell>
          <cell r="C14" t="str">
            <v>LNGA</v>
          </cell>
          <cell r="G14">
            <v>3.5421085381657771E-3</v>
          </cell>
          <cell r="H14">
            <v>4.6777855399963743E-3</v>
          </cell>
          <cell r="I14">
            <v>4.3081054048078008E-5</v>
          </cell>
        </row>
        <row r="15">
          <cell r="A15" t="str">
            <v>IMPURN1</v>
          </cell>
          <cell r="C15" t="str">
            <v>URN</v>
          </cell>
          <cell r="D15">
            <v>250.94826744103796</v>
          </cell>
          <cell r="E15">
            <v>253.29990590548024</v>
          </cell>
          <cell r="F15">
            <v>178.90894710635953</v>
          </cell>
          <cell r="G15">
            <v>187.17138378703464</v>
          </cell>
          <cell r="H15">
            <v>98.94571284362685</v>
          </cell>
        </row>
        <row r="16">
          <cell r="A16" t="str">
            <v>EXPELC_AT</v>
          </cell>
          <cell r="C16" t="str">
            <v>ELC_E-AT</v>
          </cell>
          <cell r="D16">
            <v>6.2295772555243447</v>
          </cell>
          <cell r="E16">
            <v>1.9254049246307935E-3</v>
          </cell>
          <cell r="F16">
            <v>2.5049203580646525E-3</v>
          </cell>
          <cell r="G16">
            <v>6.0406218698351596E-4</v>
          </cell>
          <cell r="H16">
            <v>1.2081136713127673E-3</v>
          </cell>
          <cell r="I16">
            <v>5.7243532144304584E-4</v>
          </cell>
        </row>
        <row r="17">
          <cell r="A17" t="str">
            <v>EXPELC_FR</v>
          </cell>
          <cell r="C17" t="str">
            <v>ELC_E-FR</v>
          </cell>
          <cell r="D17">
            <v>12.753375479763276</v>
          </cell>
          <cell r="E17">
            <v>1.7999901086192985E-3</v>
          </cell>
          <cell r="F17">
            <v>1.7806337151843445E-3</v>
          </cell>
          <cell r="G17">
            <v>8.3915544989331548E-4</v>
          </cell>
          <cell r="H17">
            <v>0.25068633528972267</v>
          </cell>
          <cell r="I17">
            <v>1.4516956248018367</v>
          </cell>
        </row>
        <row r="18">
          <cell r="A18" t="str">
            <v>RNWWND1</v>
          </cell>
          <cell r="C18" t="str">
            <v>WND</v>
          </cell>
          <cell r="D18">
            <v>0.51195699094973346</v>
          </cell>
          <cell r="E18">
            <v>0.53318134689881336</v>
          </cell>
          <cell r="F18">
            <v>0.49104409776411867</v>
          </cell>
          <cell r="G18">
            <v>0.87513750724727934</v>
          </cell>
          <cell r="H18">
            <v>0.85674750045347581</v>
          </cell>
          <cell r="I18">
            <v>0.87513569779490408</v>
          </cell>
        </row>
        <row r="19">
          <cell r="A19" t="str">
            <v>RNWWND2</v>
          </cell>
          <cell r="C19" t="str">
            <v>WND</v>
          </cell>
          <cell r="D19">
            <v>4.026040744755194E-3</v>
          </cell>
          <cell r="E19">
            <v>4.0373623909495619E-3</v>
          </cell>
          <cell r="F19">
            <v>4.0403478335890352E-3</v>
          </cell>
          <cell r="G19">
            <v>1.1646101804579849</v>
          </cell>
          <cell r="H19">
            <v>2.2305394712701898</v>
          </cell>
          <cell r="I19">
            <v>2.3070546454985914</v>
          </cell>
        </row>
        <row r="20">
          <cell r="A20" t="str">
            <v>RNWMNR1</v>
          </cell>
          <cell r="C20" t="str">
            <v>MNR</v>
          </cell>
          <cell r="D20">
            <v>3.7981272755403661</v>
          </cell>
          <cell r="E20">
            <v>12.540463163667923</v>
          </cell>
          <cell r="F20">
            <v>12.540462853242218</v>
          </cell>
          <cell r="G20">
            <v>12.540446232075002</v>
          </cell>
          <cell r="H20">
            <v>12.54044232779483</v>
          </cell>
          <cell r="I20">
            <v>12.540438905368042</v>
          </cell>
        </row>
        <row r="21">
          <cell r="A21" t="str">
            <v>RNWWND3</v>
          </cell>
          <cell r="C21" t="str">
            <v>WND</v>
          </cell>
          <cell r="D21">
            <v>3.2727443226177842E-3</v>
          </cell>
          <cell r="E21">
            <v>3.2793534768072933E-3</v>
          </cell>
          <cell r="F21">
            <v>3.2810805897363917E-3</v>
          </cell>
          <cell r="G21">
            <v>4.9238637332483992E-3</v>
          </cell>
          <cell r="H21">
            <v>0.42172381573673418</v>
          </cell>
          <cell r="I21">
            <v>2.9261288365152254</v>
          </cell>
        </row>
        <row r="22">
          <cell r="A22" t="str">
            <v>RNWMNR2</v>
          </cell>
          <cell r="C22" t="str">
            <v>MNR</v>
          </cell>
          <cell r="H22">
            <v>2.0900819846907597</v>
          </cell>
          <cell r="I22">
            <v>6.2702189600992755</v>
          </cell>
        </row>
        <row r="23">
          <cell r="A23" t="str">
            <v>RNWWND4</v>
          </cell>
          <cell r="C23" t="str">
            <v>WND</v>
          </cell>
          <cell r="D23">
            <v>2.8709618851043518E-3</v>
          </cell>
          <cell r="E23">
            <v>2.8761996167405109E-3</v>
          </cell>
          <cell r="F23">
            <v>2.878662214656328E-3</v>
          </cell>
          <cell r="G23">
            <v>3.5643291876331011E-3</v>
          </cell>
          <cell r="H23">
            <v>1.0862028567045195E-2</v>
          </cell>
          <cell r="I23">
            <v>9.4950190732528122E-3</v>
          </cell>
        </row>
        <row r="24">
          <cell r="A24" t="str">
            <v>RNWMNR3</v>
          </cell>
          <cell r="C24" t="str">
            <v>MNR</v>
          </cell>
          <cell r="H24">
            <v>2.7297927041231973</v>
          </cell>
          <cell r="I24">
            <v>8.1893650881516127</v>
          </cell>
        </row>
        <row r="25">
          <cell r="A25" t="str">
            <v>IMPLFO1</v>
          </cell>
          <cell r="C25" t="str">
            <v>LFO</v>
          </cell>
          <cell r="D25">
            <v>101.78018844605887</v>
          </cell>
          <cell r="E25">
            <v>88.215372526159186</v>
          </cell>
          <cell r="F25">
            <v>83.615009336030496</v>
          </cell>
          <cell r="G25">
            <v>40.922146444130767</v>
          </cell>
          <cell r="H25">
            <v>8.1877927508833537</v>
          </cell>
        </row>
        <row r="26">
          <cell r="A26" t="str">
            <v>RNWWND5</v>
          </cell>
          <cell r="C26" t="str">
            <v>WND</v>
          </cell>
          <cell r="D26">
            <v>1.9235029785313348E-3</v>
          </cell>
          <cell r="E26">
            <v>1.9253198729109011E-3</v>
          </cell>
          <cell r="F26">
            <v>1.9279949890857132E-3</v>
          </cell>
          <cell r="G26">
            <v>2.0734228099819237E-3</v>
          </cell>
          <cell r="H26">
            <v>2.9924984386121159E-3</v>
          </cell>
          <cell r="I26">
            <v>2.2180249001778293E-3</v>
          </cell>
        </row>
        <row r="27">
          <cell r="A27" t="str">
            <v>IMPBNGA</v>
          </cell>
          <cell r="C27" t="str">
            <v>BIO</v>
          </cell>
          <cell r="E27">
            <v>0.51650619984861779</v>
          </cell>
          <cell r="F27">
            <v>3.7886043113487445E-4</v>
          </cell>
          <cell r="G27">
            <v>0.51704529560858481</v>
          </cell>
          <cell r="H27">
            <v>4.183811018133491E-5</v>
          </cell>
          <cell r="I27">
            <v>1.3479870996545224E-5</v>
          </cell>
        </row>
        <row r="28">
          <cell r="A28" t="str">
            <v>RNWGEO1</v>
          </cell>
          <cell r="C28" t="str">
            <v>GEO</v>
          </cell>
          <cell r="H28">
            <v>3.0017266217001763</v>
          </cell>
          <cell r="I28">
            <v>6.0239154291517973</v>
          </cell>
        </row>
        <row r="29">
          <cell r="A29" t="str">
            <v>RNWGEO2</v>
          </cell>
          <cell r="C29" t="str">
            <v>GEO</v>
          </cell>
          <cell r="H29">
            <v>1.4241191156084795E-2</v>
          </cell>
          <cell r="I29">
            <v>1.43949139226257E-2</v>
          </cell>
        </row>
        <row r="30">
          <cell r="A30" t="str">
            <v>IMPKERintl</v>
          </cell>
          <cell r="C30" t="str">
            <v>KERintl</v>
          </cell>
          <cell r="D30">
            <v>29.445541904988399</v>
          </cell>
          <cell r="E30">
            <v>59.482621832335802</v>
          </cell>
          <cell r="F30">
            <v>77.720020257286095</v>
          </cell>
          <cell r="G30">
            <v>73.572037724712402</v>
          </cell>
          <cell r="H30">
            <v>47.003935833518497</v>
          </cell>
          <cell r="I30">
            <v>16.7143609044325</v>
          </cell>
        </row>
        <row r="31">
          <cell r="A31" t="str">
            <v>RNWGEO3</v>
          </cell>
          <cell r="C31" t="str">
            <v>GEO</v>
          </cell>
          <cell r="H31">
            <v>5.1557562467532802E-3</v>
          </cell>
          <cell r="I31">
            <v>5.165157233107961E-3</v>
          </cell>
        </row>
        <row r="32">
          <cell r="A32" t="str">
            <v>RNWGEO4</v>
          </cell>
          <cell r="C32" t="str">
            <v>GEO</v>
          </cell>
          <cell r="H32">
            <v>3.9474089377830529E-3</v>
          </cell>
          <cell r="I32">
            <v>3.9536915089025603E-3</v>
          </cell>
        </row>
        <row r="33">
          <cell r="A33" t="str">
            <v>RNWGEO5</v>
          </cell>
          <cell r="C33" t="str">
            <v>GEO</v>
          </cell>
          <cell r="H33">
            <v>3.2075639521261189E-3</v>
          </cell>
          <cell r="I33">
            <v>3.2143439640837106E-3</v>
          </cell>
        </row>
        <row r="34">
          <cell r="A34" t="str">
            <v>IMPGSL</v>
          </cell>
          <cell r="C34" t="str">
            <v>GSL</v>
          </cell>
          <cell r="D34">
            <v>78.873041206646931</v>
          </cell>
          <cell r="E34">
            <v>79.721754449683729</v>
          </cell>
          <cell r="F34">
            <v>71.971096722564113</v>
          </cell>
          <cell r="G34">
            <v>61.790684597925122</v>
          </cell>
          <cell r="H34">
            <v>5.6038264681351722</v>
          </cell>
        </row>
        <row r="35">
          <cell r="A35" t="str">
            <v>RNWWOD1</v>
          </cell>
          <cell r="C35" t="str">
            <v>WOD</v>
          </cell>
          <cell r="D35">
            <v>11.111898002755384</v>
          </cell>
          <cell r="E35">
            <v>11.952901604723982</v>
          </cell>
          <cell r="F35">
            <v>13.214399706696403</v>
          </cell>
          <cell r="G35">
            <v>15.316917648506823</v>
          </cell>
          <cell r="H35">
            <v>16.266401392692813</v>
          </cell>
          <cell r="I35">
            <v>16.957002152774074</v>
          </cell>
        </row>
        <row r="36">
          <cell r="A36" t="str">
            <v>RNWWOD2</v>
          </cell>
          <cell r="C36" t="str">
            <v>WOD</v>
          </cell>
          <cell r="D36">
            <v>7.5116912588402913</v>
          </cell>
          <cell r="E36">
            <v>7.5431597323891841</v>
          </cell>
          <cell r="F36">
            <v>7.590355216784717</v>
          </cell>
          <cell r="G36">
            <v>7.6690357577480448</v>
          </cell>
          <cell r="H36">
            <v>7.6690343301202475</v>
          </cell>
          <cell r="I36">
            <v>7.6690366240042982</v>
          </cell>
        </row>
        <row r="37">
          <cell r="A37" t="str">
            <v>RNWWOD3</v>
          </cell>
          <cell r="C37" t="str">
            <v>WOD</v>
          </cell>
          <cell r="D37">
            <v>3.1682653187081877</v>
          </cell>
          <cell r="E37">
            <v>3.4956787240892297</v>
          </cell>
          <cell r="F37">
            <v>3.9868213884616295</v>
          </cell>
          <cell r="G37">
            <v>4.8053889315016818</v>
          </cell>
          <cell r="H37">
            <v>4.805392713516178</v>
          </cell>
          <cell r="I37">
            <v>4.8053892673449097</v>
          </cell>
        </row>
        <row r="38">
          <cell r="A38" t="str">
            <v>RNWWOD4</v>
          </cell>
          <cell r="C38" t="str">
            <v>WOD</v>
          </cell>
          <cell r="D38">
            <v>13.656514930673559</v>
          </cell>
          <cell r="E38">
            <v>14.89903822929201</v>
          </cell>
          <cell r="F38">
            <v>16.76284830359247</v>
          </cell>
          <cell r="G38">
            <v>19.869216505277628</v>
          </cell>
          <cell r="H38">
            <v>18.966981712728433</v>
          </cell>
          <cell r="I38">
            <v>18.757454121508477</v>
          </cell>
        </row>
        <row r="39">
          <cell r="A39" t="str">
            <v>RNWWOD5</v>
          </cell>
          <cell r="C39" t="str">
            <v>WOD</v>
          </cell>
          <cell r="D39">
            <v>9.5241571440601636</v>
          </cell>
          <cell r="E39">
            <v>9.8192880022939431</v>
          </cell>
          <cell r="F39">
            <v>6.1556182371840933</v>
          </cell>
          <cell r="G39">
            <v>4.9472392202898376E-2</v>
          </cell>
          <cell r="H39">
            <v>2.2300938502206758E-3</v>
          </cell>
          <cell r="I39">
            <v>1.2362516951297552E-3</v>
          </cell>
        </row>
        <row r="40">
          <cell r="A40" t="str">
            <v>RNNWWST1</v>
          </cell>
          <cell r="C40" t="str">
            <v>WSTNREN</v>
          </cell>
          <cell r="D40">
            <v>35.931183248765272</v>
          </cell>
          <cell r="E40">
            <v>35.882407124617565</v>
          </cell>
          <cell r="F40">
            <v>35.489472343636578</v>
          </cell>
          <cell r="G40">
            <v>35.03996117505806</v>
          </cell>
          <cell r="H40">
            <v>35.511078649678595</v>
          </cell>
          <cell r="I40">
            <v>35.959241596083366</v>
          </cell>
        </row>
        <row r="41">
          <cell r="A41" t="str">
            <v>RNWSOL1</v>
          </cell>
          <cell r="C41" t="str">
            <v>SOL</v>
          </cell>
          <cell r="D41">
            <v>12.55659643484937</v>
          </cell>
          <cell r="E41">
            <v>16.523694144355883</v>
          </cell>
          <cell r="F41">
            <v>30.509165791213494</v>
          </cell>
          <cell r="G41">
            <v>35.879014601464739</v>
          </cell>
          <cell r="H41">
            <v>66.288291446417077</v>
          </cell>
          <cell r="I41">
            <v>96.031483337980831</v>
          </cell>
        </row>
        <row r="42">
          <cell r="A42" t="str">
            <v>IMPHFO1</v>
          </cell>
          <cell r="C42" t="str">
            <v>HFO</v>
          </cell>
          <cell r="D42">
            <v>2.7764033086862567</v>
          </cell>
          <cell r="E42">
            <v>2.7644347464614349</v>
          </cell>
          <cell r="F42">
            <v>7.3640543000329291E-3</v>
          </cell>
          <cell r="G42">
            <v>1.5550722699684348E-4</v>
          </cell>
          <cell r="H42">
            <v>1.5383758877702948E-4</v>
          </cell>
        </row>
        <row r="43">
          <cell r="A43" t="str">
            <v>RNWHYDD1</v>
          </cell>
          <cell r="C43" t="str">
            <v>HYDD</v>
          </cell>
          <cell r="D43">
            <v>66.745680641565826</v>
          </cell>
          <cell r="E43">
            <v>49.798798233586062</v>
          </cell>
          <cell r="F43">
            <v>68.746652836090476</v>
          </cell>
          <cell r="G43">
            <v>69.707980460874055</v>
          </cell>
          <cell r="H43">
            <v>72.137441602012416</v>
          </cell>
          <cell r="I43">
            <v>68.851436972761945</v>
          </cell>
        </row>
        <row r="44">
          <cell r="A44" t="str">
            <v>IMPKER</v>
          </cell>
          <cell r="C44" t="str">
            <v>KER</v>
          </cell>
          <cell r="D44">
            <v>1.1064526525604343</v>
          </cell>
          <cell r="E44">
            <v>1.4052077296434966</v>
          </cell>
          <cell r="F44">
            <v>1.848833195529562</v>
          </cell>
          <cell r="G44">
            <v>1.9619318596804993</v>
          </cell>
          <cell r="H44">
            <v>0.34791178091554426</v>
          </cell>
        </row>
        <row r="45">
          <cell r="A45" t="str">
            <v>IMPBDS</v>
          </cell>
          <cell r="C45" t="str">
            <v>BDS</v>
          </cell>
          <cell r="D45">
            <v>2.2319554715857581</v>
          </cell>
          <cell r="E45">
            <v>2.3780156694800638</v>
          </cell>
          <cell r="F45">
            <v>3.3303176327763899</v>
          </cell>
          <cell r="G45">
            <v>2.4308431396269663</v>
          </cell>
          <cell r="H45">
            <v>2.7219936137010681</v>
          </cell>
          <cell r="I45">
            <v>15.91406084071861</v>
          </cell>
        </row>
        <row r="46">
          <cell r="A46" t="str">
            <v>IMPCOA1</v>
          </cell>
          <cell r="C46" t="str">
            <v>COA</v>
          </cell>
          <cell r="D46">
            <v>3.660082646607993</v>
          </cell>
          <cell r="E46">
            <v>3.5647399684575602</v>
          </cell>
          <cell r="F46">
            <v>1.3942393462008706</v>
          </cell>
          <cell r="G46">
            <v>9.6632042803424385E-5</v>
          </cell>
          <cell r="H46">
            <v>1.1673944620316094E-4</v>
          </cell>
          <cell r="I46">
            <v>8.4194731248640261E-6</v>
          </cell>
        </row>
        <row r="47">
          <cell r="A47" t="str">
            <v>IMPETH</v>
          </cell>
          <cell r="C47" t="str">
            <v>ETH</v>
          </cell>
          <cell r="D47">
            <v>4.4341556645434848</v>
          </cell>
          <cell r="E47">
            <v>4.3986180849727869</v>
          </cell>
          <cell r="F47">
            <v>3.962450786388759</v>
          </cell>
          <cell r="G47">
            <v>4.3452577641833461</v>
          </cell>
          <cell r="H47">
            <v>4.5711145841850946</v>
          </cell>
          <cell r="I47">
            <v>2.6821998983863039E-2</v>
          </cell>
        </row>
        <row r="48">
          <cell r="A48" t="str">
            <v>IMPELC_DE</v>
          </cell>
          <cell r="C48" t="str">
            <v>ELC_I-DE</v>
          </cell>
          <cell r="D48">
            <v>46.398495677142932</v>
          </cell>
          <cell r="E48">
            <v>27.919799486953778</v>
          </cell>
          <cell r="F48">
            <v>23.884316031111201</v>
          </cell>
          <cell r="G48">
            <v>32.059304849764857</v>
          </cell>
          <cell r="H48">
            <v>25.279721890668348</v>
          </cell>
          <cell r="I48">
            <v>13.717253545643583</v>
          </cell>
        </row>
        <row r="49">
          <cell r="A49" t="str">
            <v>IMPELC_DE</v>
          </cell>
          <cell r="C49" t="str">
            <v>ELCS</v>
          </cell>
          <cell r="D49">
            <v>46.398495677142932</v>
          </cell>
          <cell r="E49">
            <v>27.919799486953778</v>
          </cell>
          <cell r="F49">
            <v>23.884316031111201</v>
          </cell>
          <cell r="G49">
            <v>32.059304849764857</v>
          </cell>
          <cell r="H49">
            <v>25.279721890668348</v>
          </cell>
          <cell r="I49">
            <v>13.717253545643583</v>
          </cell>
        </row>
        <row r="50">
          <cell r="A50" t="str">
            <v>RNWWST1</v>
          </cell>
          <cell r="C50" t="str">
            <v>WSTREN</v>
          </cell>
          <cell r="D50">
            <v>34.100483515918789</v>
          </cell>
          <cell r="E50">
            <v>34.8146133082994</v>
          </cell>
          <cell r="F50">
            <v>34.814614735750311</v>
          </cell>
          <cell r="G50">
            <v>34.814603771905816</v>
          </cell>
          <cell r="H50">
            <v>39.265002620429044</v>
          </cell>
          <cell r="I50">
            <v>42.318135242772769</v>
          </cell>
        </row>
        <row r="51">
          <cell r="A51" t="str">
            <v>IMPNGA1</v>
          </cell>
          <cell r="C51" t="str">
            <v>NGA</v>
          </cell>
          <cell r="D51">
            <v>117.12552410147578</v>
          </cell>
          <cell r="E51">
            <v>106.72001948820683</v>
          </cell>
          <cell r="F51">
            <v>106.38930842511179</v>
          </cell>
          <cell r="G51">
            <v>81.057007277103466</v>
          </cell>
          <cell r="H51">
            <v>22.413006510170504</v>
          </cell>
          <cell r="I51">
            <v>2.7690680887371249E-5</v>
          </cell>
        </row>
        <row r="52">
          <cell r="A52" t="str">
            <v>IMPELC_IT</v>
          </cell>
          <cell r="C52" t="str">
            <v>ELC_I-IT</v>
          </cell>
          <cell r="D52">
            <v>6.7991047165897394</v>
          </cell>
          <cell r="E52">
            <v>1.1635090763049468E-3</v>
          </cell>
          <cell r="F52">
            <v>1.0169960093431266E-3</v>
          </cell>
          <cell r="G52">
            <v>4.8772605815983698E-4</v>
          </cell>
          <cell r="H52">
            <v>6.8283144621202572E-4</v>
          </cell>
          <cell r="I52">
            <v>3.4242574119387395E-4</v>
          </cell>
        </row>
        <row r="53">
          <cell r="A53" t="str">
            <v>IMPELC_IT</v>
          </cell>
          <cell r="C53" t="str">
            <v>ELCS</v>
          </cell>
          <cell r="D53">
            <v>6.7991047165897394</v>
          </cell>
          <cell r="E53">
            <v>1.1635090763049468E-3</v>
          </cell>
          <cell r="F53">
            <v>1.0169960093431266E-3</v>
          </cell>
          <cell r="G53">
            <v>4.8772605815983698E-4</v>
          </cell>
          <cell r="H53">
            <v>6.8283144621202572E-4</v>
          </cell>
          <cell r="I53">
            <v>3.4242574119387395E-4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3.2682989478393263</v>
          </cell>
          <cell r="E4">
            <v>3.8320269955788282</v>
          </cell>
          <cell r="F4">
            <v>0.34699567024583272</v>
          </cell>
          <cell r="G4">
            <v>0.30048831488650779</v>
          </cell>
          <cell r="H4">
            <v>0.17877929749712504</v>
          </cell>
          <cell r="I4">
            <v>6.6356228180330198E-2</v>
          </cell>
          <cell r="J4"/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3.2682989478393263</v>
          </cell>
          <cell r="E5">
            <v>3.8320269955788282</v>
          </cell>
          <cell r="F5">
            <v>0.34699567024583272</v>
          </cell>
          <cell r="G5">
            <v>0.30048831488650779</v>
          </cell>
          <cell r="H5">
            <v>0.17877929749712504</v>
          </cell>
          <cell r="I5">
            <v>6.6356228180330198E-2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7.7172022703111051E-5</v>
          </cell>
          <cell r="F6">
            <v>5.7802987599224778E-5</v>
          </cell>
          <cell r="G6">
            <v>5.7365099649194233E-4</v>
          </cell>
          <cell r="H6">
            <v>3.0232637272649621E-4</v>
          </cell>
          <cell r="I6">
            <v>4.9489554608992694E-4</v>
          </cell>
          <cell r="J6"/>
          <cell r="K6"/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9.6867270600225203E-6</v>
          </cell>
          <cell r="F7">
            <v>3.8104877175091596E-5</v>
          </cell>
          <cell r="G7">
            <v>5.4948931047153358E-4</v>
          </cell>
          <cell r="H7">
            <v>3.0597583376706006E-4</v>
          </cell>
          <cell r="I7">
            <v>5.0795171434446734E-4</v>
          </cell>
          <cell r="J7"/>
          <cell r="K7"/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1.4919233091208799E-4</v>
          </cell>
          <cell r="E8">
            <v>5.9504521542634703E-6</v>
          </cell>
          <cell r="F8">
            <v>2.0298792593842301E-4</v>
          </cell>
          <cell r="G8">
            <v>5.7644231291805702E-6</v>
          </cell>
          <cell r="H8">
            <v>4.4363166776216801E-5</v>
          </cell>
          <cell r="I8">
            <v>6.7815098206878597E-5</v>
          </cell>
          <cell r="J8"/>
          <cell r="K8"/>
          <cell r="L8"/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1.4919233091208799E-4</v>
          </cell>
          <cell r="E9">
            <v>1.5514278306635101E-4</v>
          </cell>
          <cell r="F9">
            <v>3.5813070900477401E-4</v>
          </cell>
          <cell r="G9">
            <v>3.6389513213395502E-4</v>
          </cell>
          <cell r="H9">
            <v>8.5757227977255603E-5</v>
          </cell>
          <cell r="I9">
            <v>1.0064687725969001E-4</v>
          </cell>
          <cell r="J9"/>
        </row>
        <row r="10">
          <cell r="A10" t="str">
            <v>RHNM-SHLFOBR</v>
          </cell>
          <cell r="B10" t="str">
            <v>VAR_fout</v>
          </cell>
          <cell r="C10" t="str">
            <v>CO2_R</v>
          </cell>
          <cell r="D10"/>
          <cell r="E10">
            <v>1.62283688302861E-3</v>
          </cell>
          <cell r="F10">
            <v>9.0147768960610293</v>
          </cell>
          <cell r="G10">
            <v>9.2875376969198804</v>
          </cell>
          <cell r="H10">
            <v>4.10460686836376</v>
          </cell>
          <cell r="I10"/>
          <cell r="J10"/>
        </row>
        <row r="11">
          <cell r="A11" t="str">
            <v>RHNM-SHLFOBR</v>
          </cell>
          <cell r="B11" t="str">
            <v>VAR_fout</v>
          </cell>
          <cell r="C11" t="str">
            <v>RHNM-SHLFO</v>
          </cell>
          <cell r="D11"/>
          <cell r="E11">
            <v>1.9725798838260493E-5</v>
          </cell>
          <cell r="F11">
            <v>0.11617090572689376</v>
          </cell>
          <cell r="G11">
            <v>0.1196858977946854</v>
          </cell>
          <cell r="H11">
            <v>5.2894919424905484E-2</v>
          </cell>
          <cell r="I11"/>
          <cell r="J11"/>
          <cell r="K11"/>
          <cell r="L11"/>
        </row>
        <row r="12">
          <cell r="A12" t="str">
            <v>RHNM-SHLFOBR</v>
          </cell>
          <cell r="B12" t="str">
            <v>VAR_fin</v>
          </cell>
          <cell r="C12" t="str">
            <v>RLFO</v>
          </cell>
          <cell r="D12"/>
          <cell r="E12">
            <v>2.2019496377593092E-5</v>
          </cell>
          <cell r="F12">
            <v>0.12231718990584847</v>
          </cell>
          <cell r="G12">
            <v>0.12601815056879079</v>
          </cell>
          <cell r="H12">
            <v>5.5693444618232918E-2</v>
          </cell>
          <cell r="I12"/>
        </row>
        <row r="13">
          <cell r="A13" t="str">
            <v>RHNM-SHLFOBR</v>
          </cell>
          <cell r="B13" t="str">
            <v>VAR_ncap</v>
          </cell>
          <cell r="C13" t="str">
            <v>-</v>
          </cell>
          <cell r="D13"/>
          <cell r="E13">
            <v>7.1317653588284698E-5</v>
          </cell>
          <cell r="F13">
            <v>2.3254041078602201E-2</v>
          </cell>
          <cell r="G13"/>
          <cell r="H13"/>
          <cell r="I13"/>
          <cell r="J13"/>
          <cell r="K13"/>
        </row>
        <row r="14">
          <cell r="A14" t="str">
            <v>RHNM-SHLFOBR</v>
          </cell>
          <cell r="B14" t="str">
            <v>VAR_cap</v>
          </cell>
          <cell r="C14" t="str">
            <v>-</v>
          </cell>
          <cell r="D14"/>
          <cell r="E14">
            <v>7.1317653588284698E-5</v>
          </cell>
          <cell r="F14">
            <v>2.3311603204061473E-2</v>
          </cell>
          <cell r="G14">
            <v>2.3298684256616162E-2</v>
          </cell>
          <cell r="H14">
            <v>4.1187056263733797E-3</v>
          </cell>
          <cell r="I14"/>
          <cell r="J14"/>
          <cell r="K14"/>
          <cell r="L14"/>
          <cell r="M14"/>
        </row>
        <row r="15">
          <cell r="A15" t="str">
            <v>RHNS-SHNGAHP</v>
          </cell>
          <cell r="B15" t="str">
            <v>VAR_fout</v>
          </cell>
          <cell r="C15" t="str">
            <v>CO2_R</v>
          </cell>
          <cell r="D15"/>
          <cell r="E15"/>
          <cell r="F15">
            <v>5.5876893283109004</v>
          </cell>
          <cell r="G15">
            <v>17.086314241145399</v>
          </cell>
          <cell r="H15">
            <v>25.2766814569746</v>
          </cell>
          <cell r="I15">
            <v>24.6766632116558</v>
          </cell>
        </row>
        <row r="16">
          <cell r="A16" t="str">
            <v>RHNS-SHNGAHP</v>
          </cell>
          <cell r="B16" t="str">
            <v>VAR_fout</v>
          </cell>
          <cell r="C16" t="str">
            <v>RHNS-SHANGAH</v>
          </cell>
          <cell r="D16"/>
          <cell r="E16"/>
          <cell r="F16">
            <v>0.1905708199797084</v>
          </cell>
          <cell r="G16">
            <v>0.60853074132797147</v>
          </cell>
          <cell r="H16">
            <v>0.92484337407585915</v>
          </cell>
          <cell r="I16">
            <v>0.93764651748695638</v>
          </cell>
          <cell r="J16"/>
          <cell r="K16"/>
          <cell r="L16"/>
        </row>
        <row r="17">
          <cell r="A17" t="str">
            <v>RHNS-SHNGAHP</v>
          </cell>
          <cell r="B17" t="str">
            <v>VAR_fin</v>
          </cell>
          <cell r="C17" t="str">
            <v>RNGA</v>
          </cell>
          <cell r="D17"/>
          <cell r="E17"/>
          <cell r="F17">
            <v>9.9072505821115181E-2</v>
          </cell>
          <cell r="G17">
            <v>0.30294883406286238</v>
          </cell>
          <cell r="H17">
            <v>0.44816811093926567</v>
          </cell>
          <cell r="I17">
            <v>0.43752948956836485</v>
          </cell>
          <cell r="J17"/>
        </row>
        <row r="18">
          <cell r="A18" t="str">
            <v>RHNS-SHNGAHP</v>
          </cell>
          <cell r="B18" t="str">
            <v>VAR_fin</v>
          </cell>
          <cell r="C18" t="str">
            <v>RHNSELCHPC</v>
          </cell>
          <cell r="D18"/>
          <cell r="E18"/>
          <cell r="F18">
            <v>0.1905708199797084</v>
          </cell>
          <cell r="G18">
            <v>0.60853074132797147</v>
          </cell>
          <cell r="H18">
            <v>0.92484337407585915</v>
          </cell>
          <cell r="I18">
            <v>0.93764651748695638</v>
          </cell>
          <cell r="J18"/>
          <cell r="K18"/>
        </row>
        <row r="19">
          <cell r="A19" t="str">
            <v>RHNS-SHNGAHP</v>
          </cell>
          <cell r="B19" t="str">
            <v>VAR_ncap</v>
          </cell>
          <cell r="C19" t="str">
            <v>-</v>
          </cell>
          <cell r="D19"/>
          <cell r="E19">
            <v>1.6240991176344699E-6</v>
          </cell>
          <cell r="F19">
            <v>1.40095665188688E-2</v>
          </cell>
          <cell r="G19">
            <v>3.0368950532740299E-2</v>
          </cell>
          <cell r="H19">
            <v>2.78193368772938E-2</v>
          </cell>
          <cell r="I19">
            <v>4.1317954730515097E-2</v>
          </cell>
          <cell r="J19"/>
          <cell r="K19"/>
          <cell r="L19"/>
        </row>
        <row r="20">
          <cell r="A20" t="str">
            <v>RHNS-SHNGAHP</v>
          </cell>
          <cell r="B20" t="str">
            <v>VAR_cap</v>
          </cell>
          <cell r="C20" t="str">
            <v>-</v>
          </cell>
          <cell r="D20"/>
          <cell r="E20">
            <v>1.6240991176344699E-6</v>
          </cell>
          <cell r="F20">
            <v>1.4010920667370757E-2</v>
          </cell>
          <cell r="G20">
            <v>4.4379693538405658E-2</v>
          </cell>
          <cell r="H20">
            <v>6.7455406157236372E-2</v>
          </cell>
          <cell r="I20">
            <v>6.8450035260085917E-2</v>
          </cell>
          <cell r="J20"/>
          <cell r="K20"/>
        </row>
        <row r="21">
          <cell r="A21" t="str">
            <v>ITOT-SWHPLTBR</v>
          </cell>
          <cell r="B21" t="str">
            <v>VAR_fout</v>
          </cell>
          <cell r="C21" t="str">
            <v>ITOT-SWH</v>
          </cell>
          <cell r="D21">
            <v>0.46154164846002838</v>
          </cell>
          <cell r="E21">
            <v>0.54458380531043937</v>
          </cell>
          <cell r="F21">
            <v>0.54461258844008897</v>
          </cell>
          <cell r="G21">
            <v>0.54461305540051896</v>
          </cell>
          <cell r="H21">
            <v>3.0516079722236129</v>
          </cell>
          <cell r="I21">
            <v>4.1523965567269139</v>
          </cell>
          <cell r="J21"/>
          <cell r="K21"/>
        </row>
        <row r="22">
          <cell r="A22" t="str">
            <v>ITOT-SWHPLTBR</v>
          </cell>
          <cell r="B22" t="str">
            <v>VAR_fin</v>
          </cell>
          <cell r="C22" t="str">
            <v>ITOTPLTBRC</v>
          </cell>
          <cell r="D22">
            <v>0.46154164846002838</v>
          </cell>
          <cell r="E22">
            <v>0.54458380531043937</v>
          </cell>
          <cell r="F22">
            <v>0.54461258844008897</v>
          </cell>
          <cell r="G22">
            <v>0.54461305540051896</v>
          </cell>
          <cell r="H22">
            <v>3.0516079722236129</v>
          </cell>
          <cell r="I22">
            <v>4.1523965567269139</v>
          </cell>
          <cell r="J22"/>
          <cell r="K22"/>
          <cell r="L22"/>
        </row>
        <row r="23">
          <cell r="A23" t="str">
            <v>ITOT-SWHPLTBR</v>
          </cell>
          <cell r="B23" t="str">
            <v>VAR_fin</v>
          </cell>
          <cell r="C23" t="str">
            <v>IPLT</v>
          </cell>
          <cell r="D23">
            <v>0.62581918435258088</v>
          </cell>
          <cell r="E23">
            <v>0.73758528935951095</v>
          </cell>
          <cell r="F23">
            <v>0.73637758436969825</v>
          </cell>
          <cell r="G23">
            <v>0.73430973761867646</v>
          </cell>
          <cell r="H23">
            <v>4.0915414152718812</v>
          </cell>
          <cell r="I23">
            <v>5.5365287423025489</v>
          </cell>
        </row>
        <row r="24">
          <cell r="A24" t="str">
            <v>ITOT-SWHPLTBR</v>
          </cell>
          <cell r="B24" t="str">
            <v>VAR_ncap</v>
          </cell>
          <cell r="C24" t="str">
            <v>-</v>
          </cell>
          <cell r="D24"/>
          <cell r="E24">
            <v>8.1915019639530306E-3</v>
          </cell>
          <cell r="F24">
            <v>5.71170348829583E-5</v>
          </cell>
          <cell r="G24">
            <v>3.4675094650450498E-5</v>
          </cell>
          <cell r="H24">
            <v>0.15770747320201101</v>
          </cell>
          <cell r="I24">
            <v>0.29658839485907401</v>
          </cell>
          <cell r="J24"/>
        </row>
        <row r="25">
          <cell r="A25" t="str">
            <v>ITOT-SWHPLTBR</v>
          </cell>
          <cell r="B25" t="str">
            <v>VAR_cap</v>
          </cell>
          <cell r="C25" t="str">
            <v>-</v>
          </cell>
          <cell r="D25">
            <v>2.9860759506449799E-2</v>
          </cell>
          <cell r="E25">
            <v>3.8048951455941178E-2</v>
          </cell>
          <cell r="F25">
            <v>3.8073639353183121E-2</v>
          </cell>
          <cell r="G25">
            <v>3.7727283687443804E-2</v>
          </cell>
          <cell r="H25">
            <v>0.19113068907933289</v>
          </cell>
          <cell r="I25">
            <v>0.36457809860510187</v>
          </cell>
        </row>
        <row r="26">
          <cell r="A26" t="str">
            <v>D-RHNS_KEV_WOD_ELC_CHP</v>
          </cell>
          <cell r="B26" t="str">
            <v>VAR_fout</v>
          </cell>
          <cell r="C26" t="str">
            <v>RHNS_ELC</v>
          </cell>
          <cell r="D26"/>
          <cell r="E26"/>
          <cell r="F26"/>
          <cell r="G26">
            <v>2.6506216925421561E-4</v>
          </cell>
          <cell r="H26">
            <v>1.6941024460817851E-4</v>
          </cell>
          <cell r="I26">
            <v>2.0766126158356415E-4</v>
          </cell>
        </row>
        <row r="27">
          <cell r="A27" t="str">
            <v>D-RHNS_KEV_WOD_ELC_CHP</v>
          </cell>
          <cell r="B27" t="str">
            <v>VAR_fout</v>
          </cell>
          <cell r="C27" t="str">
            <v>ELC5</v>
          </cell>
          <cell r="D27"/>
          <cell r="E27"/>
          <cell r="F27"/>
          <cell r="G27">
            <v>2.6523670299011845E-4</v>
          </cell>
          <cell r="H27">
            <v>1.6954050913403003E-4</v>
          </cell>
          <cell r="I27">
            <v>2.078434955216065E-4</v>
          </cell>
        </row>
        <row r="28">
          <cell r="A28" t="str">
            <v>D-RHNS_KEV_WOD_ELC_CHP</v>
          </cell>
          <cell r="B28" t="str">
            <v>VAR_fin</v>
          </cell>
          <cell r="C28" t="str">
            <v>RHNS_KEV_WOD_ELC_CHP</v>
          </cell>
          <cell r="D28"/>
          <cell r="E28"/>
          <cell r="F28"/>
          <cell r="G28">
            <v>5.0854495232726575E-4</v>
          </cell>
          <cell r="H28">
            <v>3.1805351431145107E-4</v>
          </cell>
          <cell r="I28">
            <v>3.9778083280513679E-4</v>
          </cell>
          <cell r="J28"/>
          <cell r="K28"/>
        </row>
        <row r="29">
          <cell r="A29" t="str">
            <v>RHSA-WHWODBR</v>
          </cell>
          <cell r="B29" t="str">
            <v>VAR_fout</v>
          </cell>
          <cell r="C29" t="str">
            <v>RHSA-WHWOD</v>
          </cell>
          <cell r="D29">
            <v>0.52049258579586866</v>
          </cell>
          <cell r="E29">
            <v>0.59726093595368224</v>
          </cell>
          <cell r="F29">
            <v>1.0959929672789643</v>
          </cell>
          <cell r="G29">
            <v>0.95055540267718408</v>
          </cell>
          <cell r="H29">
            <v>0.66191850158908361</v>
          </cell>
          <cell r="I29">
            <v>0.35968849703516803</v>
          </cell>
          <cell r="J29"/>
          <cell r="K29"/>
        </row>
        <row r="30">
          <cell r="A30" t="str">
            <v>RHSA-WHWODBR</v>
          </cell>
          <cell r="B30" t="str">
            <v>VAR_fin</v>
          </cell>
          <cell r="C30" t="str">
            <v>RWOD</v>
          </cell>
          <cell r="D30">
            <v>1.0409851715917375</v>
          </cell>
          <cell r="E30">
            <v>1.1945218719073636</v>
          </cell>
          <cell r="F30">
            <v>2.5253063396649704</v>
          </cell>
          <cell r="G30">
            <v>2.1303594973792959</v>
          </cell>
          <cell r="H30">
            <v>1.4179970007758844</v>
          </cell>
          <cell r="I30">
            <v>0.72363587316754097</v>
          </cell>
          <cell r="J30"/>
          <cell r="K30"/>
        </row>
        <row r="31">
          <cell r="A31" t="str">
            <v>RHSA-WHWODBR</v>
          </cell>
          <cell r="B31" t="str">
            <v>VAR_ncap</v>
          </cell>
          <cell r="C31" t="str">
            <v>-</v>
          </cell>
          <cell r="D31"/>
          <cell r="E31">
            <v>5.3779935599440297E-3</v>
          </cell>
          <cell r="F31">
            <v>3.1908428528684599E-2</v>
          </cell>
          <cell r="G31">
            <v>1.1478134203822499E-6</v>
          </cell>
          <cell r="H31">
            <v>3.0244718326265501E-2</v>
          </cell>
          <cell r="I31">
            <v>1.81748536754491E-6</v>
          </cell>
          <cell r="J31"/>
          <cell r="K31"/>
        </row>
        <row r="32">
          <cell r="A32" t="str">
            <v>RHSA-WHWODBR</v>
          </cell>
          <cell r="B32" t="str">
            <v>VAR_cap</v>
          </cell>
          <cell r="C32" t="str">
            <v>-</v>
          </cell>
          <cell r="D32">
            <v>3.5322010722483803E-2</v>
          </cell>
          <cell r="E32">
            <v>4.0699607457275397E-2</v>
          </cell>
          <cell r="F32">
            <v>7.2607636446419127E-2</v>
          </cell>
          <cell r="G32">
            <v>7.2600511461426737E-2</v>
          </cell>
          <cell r="H32">
            <v>4.7324068932789141E-2</v>
          </cell>
          <cell r="I32">
            <v>2.6784682296766442E-2</v>
          </cell>
          <cell r="J32"/>
          <cell r="K32"/>
        </row>
        <row r="33">
          <cell r="A33" t="str">
            <v>RHES-SHWODBR</v>
          </cell>
          <cell r="B33" t="str">
            <v>VAR_fout</v>
          </cell>
          <cell r="C33" t="str">
            <v>RHES-SHWOD</v>
          </cell>
          <cell r="D33">
            <v>4.3871731011618618</v>
          </cell>
          <cell r="E33">
            <v>5.0342425441867844</v>
          </cell>
          <cell r="F33">
            <v>5.2445520362424967</v>
          </cell>
          <cell r="G33">
            <v>3.9987331385634688</v>
          </cell>
          <cell r="H33">
            <v>2.1707864584036316</v>
          </cell>
          <cell r="I33">
            <v>0.96653227235136407</v>
          </cell>
          <cell r="J33"/>
          <cell r="K33"/>
        </row>
        <row r="34">
          <cell r="A34" t="str">
            <v>RHES-SHWODBR</v>
          </cell>
          <cell r="B34" t="str">
            <v>VAR_fin</v>
          </cell>
          <cell r="C34" t="str">
            <v>RWOD</v>
          </cell>
          <cell r="D34">
            <v>6.0932959738359225</v>
          </cell>
          <cell r="E34">
            <v>6.9920035335927562</v>
          </cell>
          <cell r="F34">
            <v>7.3325560359938962</v>
          </cell>
          <cell r="G34">
            <v>5.5225752197739553</v>
          </cell>
          <cell r="H34">
            <v>2.9632385437331794</v>
          </cell>
          <cell r="I34">
            <v>1.2743615192133613</v>
          </cell>
          <cell r="J34"/>
        </row>
        <row r="35">
          <cell r="A35" t="str">
            <v>RHES-SHWODBR</v>
          </cell>
          <cell r="B35" t="str">
            <v>VAR_ncap</v>
          </cell>
          <cell r="C35" t="str">
            <v>-</v>
          </cell>
          <cell r="D35"/>
          <cell r="E35">
            <v>5.2320679646351897E-2</v>
          </cell>
          <cell r="F35">
            <v>1.6976119271250999E-2</v>
          </cell>
          <cell r="G35">
            <v>7.6859631325602895E-7</v>
          </cell>
          <cell r="H35">
            <v>6.3791766601556693E-2</v>
          </cell>
          <cell r="I35">
            <v>3.2422476381146698E-7</v>
          </cell>
          <cell r="J35"/>
        </row>
        <row r="36">
          <cell r="A36" t="str">
            <v>RHES-SHWODBR</v>
          </cell>
          <cell r="B36" t="str">
            <v>VAR_cap</v>
          </cell>
          <cell r="C36" t="str">
            <v>-</v>
          </cell>
          <cell r="D36">
            <v>0.354428052062076</v>
          </cell>
          <cell r="E36">
            <v>0.4067485263415257</v>
          </cell>
          <cell r="F36">
            <v>0.42372445373742035</v>
          </cell>
          <cell r="G36">
            <v>0.42368241709619869</v>
          </cell>
          <cell r="H36">
            <v>0.17540092890779399</v>
          </cell>
          <cell r="I36">
            <v>9.2230473233004623E-2</v>
          </cell>
          <cell r="J36"/>
        </row>
        <row r="37">
          <cell r="A37" t="str">
            <v>D-EH2</v>
          </cell>
          <cell r="B37" t="str">
            <v>VAR_fout</v>
          </cell>
          <cell r="C37" t="str">
            <v>EH2</v>
          </cell>
          <cell r="D37"/>
          <cell r="E37"/>
          <cell r="F37"/>
          <cell r="G37"/>
          <cell r="H37">
            <v>1.5214373627254631E-4</v>
          </cell>
          <cell r="I37">
            <v>4.1092930695353858E-4</v>
          </cell>
          <cell r="J37"/>
          <cell r="K37"/>
          <cell r="L37"/>
          <cell r="M37"/>
        </row>
        <row r="38">
          <cell r="A38" t="str">
            <v>D-EH2</v>
          </cell>
          <cell r="B38" t="str">
            <v>VAR_fin</v>
          </cell>
          <cell r="C38" t="str">
            <v>H2</v>
          </cell>
          <cell r="D38"/>
          <cell r="E38"/>
          <cell r="F38"/>
          <cell r="G38"/>
          <cell r="H38">
            <v>1.5368054168944087E-4</v>
          </cell>
          <cell r="I38">
            <v>4.150801080338776E-4</v>
          </cell>
          <cell r="J38"/>
          <cell r="K38"/>
          <cell r="L38"/>
          <cell r="M38"/>
        </row>
        <row r="39">
          <cell r="A39" t="str">
            <v>D-EH2</v>
          </cell>
          <cell r="B39" t="str">
            <v>VAR_ncap</v>
          </cell>
          <cell r="C39" t="str">
            <v>-</v>
          </cell>
          <cell r="D39"/>
          <cell r="E39"/>
          <cell r="F39"/>
          <cell r="G39">
            <v>2.21001526654633E-6</v>
          </cell>
          <cell r="H39">
            <v>8.6820108788047696E-4</v>
          </cell>
          <cell r="I39">
            <v>1.39935071469057E-5</v>
          </cell>
        </row>
        <row r="40">
          <cell r="A40" t="str">
            <v>D-EH2</v>
          </cell>
          <cell r="B40" t="str">
            <v>VAR_cap</v>
          </cell>
          <cell r="C40" t="str">
            <v>-</v>
          </cell>
          <cell r="D40"/>
          <cell r="E40"/>
          <cell r="F40"/>
          <cell r="G40">
            <v>2.21001526654633E-6</v>
          </cell>
          <cell r="H40">
            <v>8.7675897835293496E-4</v>
          </cell>
          <cell r="I40">
            <v>8.9075248549984104E-4</v>
          </cell>
        </row>
        <row r="41">
          <cell r="A41" t="str">
            <v>SCOM-SHWODBR</v>
          </cell>
          <cell r="B41" t="str">
            <v>VAR_fout</v>
          </cell>
          <cell r="C41" t="str">
            <v>SCOM-SHWOD</v>
          </cell>
          <cell r="D41">
            <v>6.1735540115053968</v>
          </cell>
          <cell r="E41">
            <v>7.1868678505339076</v>
          </cell>
          <cell r="F41">
            <v>6.7621188648358448</v>
          </cell>
          <cell r="G41">
            <v>5.7644991065024405</v>
          </cell>
          <cell r="H41">
            <v>3.0262441105405995</v>
          </cell>
          <cell r="I41">
            <v>1.314962640452022</v>
          </cell>
          <cell r="J41"/>
          <cell r="K41"/>
        </row>
        <row r="42">
          <cell r="A42" t="str">
            <v>SCOM-SHWODBR</v>
          </cell>
          <cell r="B42" t="str">
            <v>VAR_fin</v>
          </cell>
          <cell r="C42" t="str">
            <v>SWOD</v>
          </cell>
          <cell r="D42">
            <v>8.5743805715352792</v>
          </cell>
          <cell r="E42">
            <v>9.981760903519314</v>
          </cell>
          <cell r="F42">
            <v>10.039788795627199</v>
          </cell>
          <cell r="G42">
            <v>8.5540742093002535</v>
          </cell>
          <cell r="H42">
            <v>4.4903576283895053</v>
          </cell>
          <cell r="I42">
            <v>1.8518018195643593</v>
          </cell>
          <cell r="J42"/>
          <cell r="K42"/>
        </row>
        <row r="43">
          <cell r="A43" t="str">
            <v>SCOM-SHWODBR</v>
          </cell>
          <cell r="B43" t="str">
            <v>VAR_ncap</v>
          </cell>
          <cell r="C43" t="str">
            <v>-</v>
          </cell>
          <cell r="D43">
            <v>2.4206890840769101E-5</v>
          </cell>
          <cell r="E43">
            <v>7.7157305523768302E-2</v>
          </cell>
          <cell r="F43">
            <v>3.1573680616741202E-6</v>
          </cell>
          <cell r="G43">
            <v>2.6832416308413799E-6</v>
          </cell>
          <cell r="H43">
            <v>5.4736831368058701E-2</v>
          </cell>
          <cell r="I43">
            <v>1.1286917815620801E-3</v>
          </cell>
          <cell r="J43"/>
          <cell r="K43"/>
        </row>
        <row r="44">
          <cell r="A44" t="str">
            <v>SCOM-SHWODBR</v>
          </cell>
          <cell r="B44" t="str">
            <v>VAR_cap</v>
          </cell>
          <cell r="C44" t="str">
            <v>-</v>
          </cell>
          <cell r="D44">
            <v>0.47844448470795276</v>
          </cell>
          <cell r="E44">
            <v>0.55560132682051078</v>
          </cell>
          <cell r="F44">
            <v>0.55553849567677027</v>
          </cell>
          <cell r="G44">
            <v>0.55552066928471067</v>
          </cell>
          <cell r="H44">
            <v>0.23856607431003282</v>
          </cell>
          <cell r="I44">
            <v>0.11861020339250791</v>
          </cell>
          <cell r="J44"/>
          <cell r="K44"/>
          <cell r="L44"/>
        </row>
        <row r="45">
          <cell r="A45" t="str">
            <v>ITOT-SWHLTHCHP</v>
          </cell>
          <cell r="B45" t="str">
            <v>VAR_fout</v>
          </cell>
          <cell r="C45" t="str">
            <v>ITOT-SWH</v>
          </cell>
          <cell r="D45">
            <v>5.185075046253953</v>
          </cell>
          <cell r="E45">
            <v>5.5675677554199599</v>
          </cell>
          <cell r="F45">
            <v>5.6657297698186806</v>
          </cell>
          <cell r="G45">
            <v>7.8561557769398274</v>
          </cell>
          <cell r="H45">
            <v>8.5392790635211071</v>
          </cell>
          <cell r="I45">
            <v>11.561564207350854</v>
          </cell>
          <cell r="J45"/>
          <cell r="K45"/>
        </row>
        <row r="46">
          <cell r="A46" t="str">
            <v>ITOT-SWHLTHCHP</v>
          </cell>
          <cell r="B46" t="str">
            <v>VAR_fin</v>
          </cell>
          <cell r="C46" t="str">
            <v>ITOTLTHCHPC</v>
          </cell>
          <cell r="D46">
            <v>5.185075046253953</v>
          </cell>
          <cell r="E46">
            <v>5.5675677554199599</v>
          </cell>
          <cell r="F46">
            <v>5.6657297698186806</v>
          </cell>
          <cell r="G46">
            <v>7.8561557769398274</v>
          </cell>
          <cell r="H46">
            <v>8.5392790635211071</v>
          </cell>
          <cell r="I46">
            <v>11.561564207350854</v>
          </cell>
          <cell r="J46"/>
          <cell r="K46"/>
        </row>
        <row r="47">
          <cell r="A47" t="str">
            <v>ITOT-SWHLTHCHP</v>
          </cell>
          <cell r="B47" t="str">
            <v>VAR_fin</v>
          </cell>
          <cell r="C47" t="str">
            <v>ITOT_LTH_CHP_ON</v>
          </cell>
          <cell r="D47">
            <v>5.6086621769879255</v>
          </cell>
          <cell r="E47">
            <v>6.0095304765471971</v>
          </cell>
          <cell r="F47">
            <v>6.0959416022431236</v>
          </cell>
          <cell r="G47">
            <v>8.4079099772913874</v>
          </cell>
          <cell r="H47">
            <v>9.0431902201467729</v>
          </cell>
          <cell r="I47">
            <v>12.170067586685111</v>
          </cell>
          <cell r="J47"/>
          <cell r="K47"/>
        </row>
        <row r="48">
          <cell r="A48" t="str">
            <v>ITOT-SWHLTHCHP</v>
          </cell>
          <cell r="B48" t="str">
            <v>VAR_ncap</v>
          </cell>
          <cell r="C48" t="str">
            <v>-</v>
          </cell>
          <cell r="D48"/>
          <cell r="E48">
            <v>6.6647447363392703E-2</v>
          </cell>
          <cell r="F48">
            <v>0.11765942076932601</v>
          </cell>
          <cell r="G48">
            <v>0.16764661334793099</v>
          </cell>
          <cell r="H48">
            <v>0.32261984709508501</v>
          </cell>
          <cell r="I48">
            <v>0.60584736732417099</v>
          </cell>
          <cell r="J48"/>
          <cell r="K48"/>
        </row>
        <row r="49">
          <cell r="A49" t="str">
            <v>ITOT-SWHLTHCHP</v>
          </cell>
          <cell r="B49" t="str">
            <v>VAR_cap</v>
          </cell>
          <cell r="C49" t="str">
            <v>-</v>
          </cell>
          <cell r="D49">
            <v>0.62661755442165901</v>
          </cell>
          <cell r="E49">
            <v>0.3186342864340837</v>
          </cell>
          <cell r="F49">
            <v>0.37526454808224902</v>
          </cell>
          <cell r="G49">
            <v>0.48098037990778397</v>
          </cell>
          <cell r="H49">
            <v>0.57469416960604303</v>
          </cell>
          <cell r="I49">
            <v>0.87729756645507462</v>
          </cell>
          <cell r="J49"/>
          <cell r="K49"/>
        </row>
        <row r="50">
          <cell r="A50" t="str">
            <v>RHSA-WHSTG-NGAHP</v>
          </cell>
          <cell r="B50" t="str">
            <v>VAR_fout</v>
          </cell>
          <cell r="C50" t="str">
            <v>RHSA-WHANGAH</v>
          </cell>
          <cell r="D50"/>
          <cell r="E50"/>
          <cell r="F50">
            <v>3.7597392783642524E-3</v>
          </cell>
          <cell r="G50">
            <v>4.3691174330053595E-3</v>
          </cell>
          <cell r="H50">
            <v>1.0947788660510665E-2</v>
          </cell>
          <cell r="I50">
            <v>2.1753983924924888E-2</v>
          </cell>
          <cell r="J50"/>
          <cell r="K50"/>
        </row>
        <row r="51">
          <cell r="A51" t="str">
            <v>RHSA-WHSTG-NGAHP</v>
          </cell>
          <cell r="B51" t="str">
            <v>VAR_fin</v>
          </cell>
          <cell r="C51" t="str">
            <v>RHSA-WHANGAH</v>
          </cell>
          <cell r="D51"/>
          <cell r="E51"/>
          <cell r="F51">
            <v>3.7929860294000613E-3</v>
          </cell>
          <cell r="G51">
            <v>4.3975298215015515E-3</v>
          </cell>
          <cell r="H51">
            <v>1.0956656302359665E-2</v>
          </cell>
          <cell r="I51">
            <v>2.1769179798639463E-2</v>
          </cell>
          <cell r="J51"/>
          <cell r="K51"/>
        </row>
        <row r="52">
          <cell r="A52" t="str">
            <v>RHSA-WHSTG-NGAHP</v>
          </cell>
          <cell r="B52" t="str">
            <v>VAR_ncap</v>
          </cell>
          <cell r="C52" t="str">
            <v>-</v>
          </cell>
          <cell r="D52">
            <v>2.9086131072428199E-5</v>
          </cell>
          <cell r="E52">
            <v>3.1878214295956897E-5</v>
          </cell>
          <cell r="F52">
            <v>1.5470546787086099E-2</v>
          </cell>
          <cell r="G52">
            <v>1.8100927035263E-2</v>
          </cell>
          <cell r="H52">
            <v>3.1456375327789401E-2</v>
          </cell>
          <cell r="I52">
            <v>2.87675280073359E-2</v>
          </cell>
          <cell r="J52"/>
          <cell r="K52"/>
        </row>
        <row r="53">
          <cell r="A53" t="str">
            <v>RHSA-WHSTG-NGAHP</v>
          </cell>
          <cell r="B53" t="str">
            <v>VAR_cap</v>
          </cell>
          <cell r="C53" t="str">
            <v>-</v>
          </cell>
          <cell r="D53">
            <v>2.9090470912488702E-5</v>
          </cell>
          <cell r="E53">
            <v>1.1606608405276067E-6</v>
          </cell>
          <cell r="F53">
            <v>1.5453678866341579E-2</v>
          </cell>
          <cell r="G53">
            <v>3.3527446041212126E-2</v>
          </cell>
          <cell r="H53">
            <v>5.9380609195967451E-2</v>
          </cell>
          <cell r="I53">
            <v>5.6983284182401651E-2</v>
          </cell>
          <cell r="J53"/>
          <cell r="K53"/>
        </row>
        <row r="54">
          <cell r="A54" t="str">
            <v>D-RES_LTH</v>
          </cell>
          <cell r="B54" t="str">
            <v>VAR_fout</v>
          </cell>
          <cell r="C54" t="str">
            <v>RHNS_LTH_DH</v>
          </cell>
          <cell r="D54"/>
          <cell r="E54">
            <v>5.4487159272056246E-2</v>
          </cell>
          <cell r="F54">
            <v>3.6149622195462373E-3</v>
          </cell>
          <cell r="G54">
            <v>0.1694359261475169</v>
          </cell>
          <cell r="H54">
            <v>0.19217275021883046</v>
          </cell>
          <cell r="I54">
            <v>0.20817987778895311</v>
          </cell>
          <cell r="J54"/>
          <cell r="K54"/>
        </row>
        <row r="55">
          <cell r="A55" t="str">
            <v>D-RES_LTH</v>
          </cell>
          <cell r="B55" t="str">
            <v>VAR_fout</v>
          </cell>
          <cell r="C55" t="str">
            <v>RHEM_LTH_DH</v>
          </cell>
          <cell r="D55">
            <v>3.4038826608600545</v>
          </cell>
          <cell r="E55">
            <v>3.827016625296376</v>
          </cell>
          <cell r="F55">
            <v>4.9828926541582819</v>
          </cell>
          <cell r="G55">
            <v>7.3548770001415837</v>
          </cell>
          <cell r="H55">
            <v>7.0130766796838175</v>
          </cell>
          <cell r="I55">
            <v>5.5243293576012942</v>
          </cell>
          <cell r="J55"/>
          <cell r="K55"/>
        </row>
        <row r="56">
          <cell r="A56" t="str">
            <v>D-RES_LTH</v>
          </cell>
          <cell r="B56" t="str">
            <v>VAR_fout</v>
          </cell>
          <cell r="C56" t="str">
            <v>RHES_LTH_DH</v>
          </cell>
          <cell r="D56">
            <v>3.174463267067706</v>
          </cell>
          <cell r="E56">
            <v>3.5392031624903315</v>
          </cell>
          <cell r="F56">
            <v>1.6135141086197888</v>
          </cell>
          <cell r="G56">
            <v>3.2586591825911349</v>
          </cell>
          <cell r="H56">
            <v>3.2534599624185843</v>
          </cell>
          <cell r="I56">
            <v>2.6707236837987809</v>
          </cell>
          <cell r="J56"/>
          <cell r="K56"/>
        </row>
        <row r="57">
          <cell r="A57" t="str">
            <v>D-RES_LTH</v>
          </cell>
          <cell r="B57" t="str">
            <v>VAR_fout</v>
          </cell>
          <cell r="C57" t="str">
            <v>RHSA_LTH</v>
          </cell>
          <cell r="D57">
            <v>1.7616751635257446</v>
          </cell>
          <cell r="E57">
            <v>1.8954897821365289</v>
          </cell>
          <cell r="F57">
            <v>1.7619830930112288</v>
          </cell>
          <cell r="G57">
            <v>0.39090423866299512</v>
          </cell>
          <cell r="H57">
            <v>0.44662083757274817</v>
          </cell>
          <cell r="I57">
            <v>3.5670863436297822</v>
          </cell>
          <cell r="J57"/>
          <cell r="K57"/>
        </row>
        <row r="58">
          <cell r="A58" t="str">
            <v>D-RES_LTH</v>
          </cell>
          <cell r="B58" t="str">
            <v>VAR_fout</v>
          </cell>
          <cell r="C58" t="str">
            <v>RHNM_LTH_DH</v>
          </cell>
          <cell r="D58"/>
          <cell r="E58">
            <v>0.35012078990874035</v>
          </cell>
          <cell r="F58">
            <v>6.1803615599253056E-2</v>
          </cell>
          <cell r="G58">
            <v>0.27482468642135083</v>
          </cell>
          <cell r="H58">
            <v>0.34588339447160205</v>
          </cell>
          <cell r="I58">
            <v>0.36583518092313877</v>
          </cell>
          <cell r="J58"/>
          <cell r="K58"/>
        </row>
        <row r="59">
          <cell r="A59" t="str">
            <v>D-RES_LTH</v>
          </cell>
          <cell r="B59" t="str">
            <v>VAR_fin</v>
          </cell>
          <cell r="C59" t="str">
            <v>LTH</v>
          </cell>
          <cell r="D59">
            <v>9.218751363073185</v>
          </cell>
          <cell r="E59">
            <v>10.68463662390068</v>
          </cell>
          <cell r="F59">
            <v>9.2905214793778228</v>
          </cell>
          <cell r="G59">
            <v>12.58011636175117</v>
          </cell>
          <cell r="H59">
            <v>12.27256766987246</v>
          </cell>
          <cell r="I59">
            <v>13.358147542496431</v>
          </cell>
          <cell r="J59"/>
          <cell r="K59"/>
        </row>
        <row r="60">
          <cell r="A60" t="str">
            <v>D-RES_LTH</v>
          </cell>
          <cell r="B60" t="str">
            <v>VAR_ncap</v>
          </cell>
          <cell r="C60" t="str">
            <v>-</v>
          </cell>
          <cell r="D60">
            <v>0.627698285834701</v>
          </cell>
          <cell r="E60">
            <v>1.86115692420501E-6</v>
          </cell>
          <cell r="F60">
            <v>1.2977777188140299E-6</v>
          </cell>
          <cell r="G60">
            <v>0.108326923069341</v>
          </cell>
          <cell r="H60">
            <v>5.04978329907405E-7</v>
          </cell>
          <cell r="I60">
            <v>3.6737818612945801E-7</v>
          </cell>
          <cell r="J60"/>
          <cell r="K60"/>
        </row>
        <row r="61">
          <cell r="A61" t="str">
            <v>D-RES_LTH</v>
          </cell>
          <cell r="B61" t="str">
            <v>VAR_cap</v>
          </cell>
          <cell r="C61" t="str">
            <v>-</v>
          </cell>
          <cell r="D61">
            <v>0.627698285834701</v>
          </cell>
          <cell r="E61">
            <v>0.62770014699162602</v>
          </cell>
          <cell r="F61">
            <v>0.62770144476934497</v>
          </cell>
          <cell r="G61">
            <v>0.73602836783868497</v>
          </cell>
          <cell r="H61">
            <v>0.74127455904736606</v>
          </cell>
          <cell r="I61">
            <v>0.74127492642555304</v>
          </cell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ELC5</v>
          </cell>
          <cell r="D62">
            <v>1.4294953919198628E-2</v>
          </cell>
          <cell r="E62">
            <v>2.099732241410081E-4</v>
          </cell>
          <cell r="F62">
            <v>3.3451588257045421E-3</v>
          </cell>
          <cell r="G62">
            <v>0.43423482533139812</v>
          </cell>
          <cell r="H62">
            <v>0.56043413626764516</v>
          </cell>
          <cell r="I62">
            <v>1.2271675990474664E-4</v>
          </cell>
          <cell r="J62"/>
          <cell r="K62"/>
        </row>
        <row r="63">
          <cell r="A63" t="str">
            <v>D-RHEM_NKEV_GAS_ELC_CHP</v>
          </cell>
          <cell r="B63" t="str">
            <v>VAR_fout</v>
          </cell>
          <cell r="C63" t="str">
            <v>RHEM_ELC</v>
          </cell>
          <cell r="D63">
            <v>1.4474987474439415E-2</v>
          </cell>
          <cell r="E63">
            <v>2.0999428555653414E-4</v>
          </cell>
          <cell r="F63">
            <v>3.32819441558467E-3</v>
          </cell>
          <cell r="G63">
            <v>0.42403968926285113</v>
          </cell>
          <cell r="H63">
            <v>0.54022441940263954</v>
          </cell>
          <cell r="I63">
            <v>1.2251826102184561E-4</v>
          </cell>
          <cell r="J63"/>
        </row>
        <row r="64">
          <cell r="A64" t="str">
            <v>D-RHEM_NKEV_GAS_ELC_CHP</v>
          </cell>
          <cell r="B64" t="str">
            <v>VAR_fin</v>
          </cell>
          <cell r="C64" t="str">
            <v>RHEM_NKEV_GAS_ELC_CHP</v>
          </cell>
          <cell r="D64">
            <v>2.8769941393638056E-2</v>
          </cell>
          <cell r="E64">
            <v>4.1996750969754192E-4</v>
          </cell>
          <cell r="F64">
            <v>6.6490868909461643E-3</v>
          </cell>
          <cell r="G64">
            <v>0.85827451459424953</v>
          </cell>
          <cell r="H64">
            <v>1.1006585556702837</v>
          </cell>
          <cell r="I64">
            <v>2.4523502092659217E-4</v>
          </cell>
          <cell r="J64"/>
        </row>
        <row r="65">
          <cell r="A65" t="str">
            <v>SCOM-SHDEM</v>
          </cell>
          <cell r="B65" t="str">
            <v>VAR_fout</v>
          </cell>
          <cell r="C65" t="str">
            <v>SCOM-SHD</v>
          </cell>
          <cell r="D65">
            <v>73.238435404121958</v>
          </cell>
          <cell r="E65">
            <v>78.574537119919583</v>
          </cell>
          <cell r="F65">
            <v>62.412372899315166</v>
          </cell>
          <cell r="G65">
            <v>60.398382942932237</v>
          </cell>
          <cell r="H65">
            <v>57.583030560877866</v>
          </cell>
          <cell r="I65">
            <v>54.766871791906816</v>
          </cell>
          <cell r="J65"/>
        </row>
        <row r="66">
          <cell r="A66" t="str">
            <v>SCOM-SHDEM</v>
          </cell>
          <cell r="B66" t="str">
            <v>VAR_fin</v>
          </cell>
          <cell r="C66" t="str">
            <v>SCOM-SHCON</v>
          </cell>
          <cell r="D66"/>
          <cell r="E66">
            <v>9.1176408203205384</v>
          </cell>
          <cell r="F66">
            <v>2.3654902266434679</v>
          </cell>
          <cell r="G66">
            <v>5.3125193557268542</v>
          </cell>
          <cell r="H66">
            <v>10.001228972851992</v>
          </cell>
          <cell r="I66">
            <v>15.095468780184197</v>
          </cell>
          <cell r="J66"/>
        </row>
        <row r="67">
          <cell r="A67" t="str">
            <v>SCOM-SHDEM</v>
          </cell>
          <cell r="B67" t="str">
            <v>VAR_fin</v>
          </cell>
          <cell r="C67" t="str">
            <v>SCOM-SHWOD</v>
          </cell>
          <cell r="D67">
            <v>6.1735540115053968</v>
          </cell>
          <cell r="E67">
            <v>7.1868678505339076</v>
          </cell>
          <cell r="F67">
            <v>6.7621188648358448</v>
          </cell>
          <cell r="G67">
            <v>5.7644991065024405</v>
          </cell>
          <cell r="H67">
            <v>3.0262441105405995</v>
          </cell>
          <cell r="I67">
            <v>1.314962640452022</v>
          </cell>
          <cell r="J67"/>
          <cell r="K67"/>
        </row>
        <row r="68">
          <cell r="A68" t="str">
            <v>SCOM-SHDEM</v>
          </cell>
          <cell r="B68" t="str">
            <v>VAR_fin</v>
          </cell>
          <cell r="C68" t="str">
            <v>SCOM-SHLTHD</v>
          </cell>
          <cell r="D68">
            <v>5.5539123405937643</v>
          </cell>
          <cell r="E68">
            <v>6.0159411131925431</v>
          </cell>
          <cell r="F68">
            <v>4.9480702905660534</v>
          </cell>
          <cell r="G68">
            <v>7.8931729194477098</v>
          </cell>
          <cell r="H68">
            <v>8.2932230592674792</v>
          </cell>
          <cell r="I68">
            <v>6.8408286030721479</v>
          </cell>
          <cell r="J68"/>
          <cell r="K68"/>
        </row>
        <row r="69">
          <cell r="A69" t="str">
            <v>SCOM-SHDEM</v>
          </cell>
          <cell r="B69" t="str">
            <v>VAR_fin</v>
          </cell>
          <cell r="C69" t="str">
            <v>SCOM-SHELCB</v>
          </cell>
          <cell r="D69">
            <v>2.3940427372713922</v>
          </cell>
          <cell r="E69">
            <v>0.59039101868738653</v>
          </cell>
          <cell r="F69">
            <v>0.52187335286765912</v>
          </cell>
          <cell r="G69">
            <v>0.29758745905512707</v>
          </cell>
          <cell r="H69">
            <v>0.20396347444966262</v>
          </cell>
          <cell r="I69">
            <v>0.13660022653245171</v>
          </cell>
          <cell r="J69"/>
        </row>
        <row r="70">
          <cell r="A70" t="str">
            <v>SCOM-SHDEM</v>
          </cell>
          <cell r="B70" t="str">
            <v>VAR_fin</v>
          </cell>
          <cell r="C70" t="str">
            <v>SCOM-SHBIO</v>
          </cell>
          <cell r="D70">
            <v>1.2230805725847629</v>
          </cell>
          <cell r="E70">
            <v>1.3407840817290759</v>
          </cell>
          <cell r="F70"/>
          <cell r="G70"/>
          <cell r="H70"/>
          <cell r="I70"/>
          <cell r="J70"/>
        </row>
        <row r="71">
          <cell r="A71" t="str">
            <v>SCOM-SHDEM</v>
          </cell>
          <cell r="B71" t="str">
            <v>VAR_fin</v>
          </cell>
          <cell r="C71" t="str">
            <v>SCOM-SHELCH</v>
          </cell>
          <cell r="D71">
            <v>4.2612158277759118</v>
          </cell>
          <cell r="E71">
            <v>4.6176565238698695</v>
          </cell>
          <cell r="F71">
            <v>6.3149347102907072</v>
          </cell>
          <cell r="G71">
            <v>14.083166876323062</v>
          </cell>
          <cell r="H71">
            <v>24.740501622552443</v>
          </cell>
          <cell r="I71">
            <v>24.322783662360674</v>
          </cell>
          <cell r="J71"/>
          <cell r="K71"/>
        </row>
        <row r="72">
          <cell r="A72" t="str">
            <v>SCOM-SHDEM</v>
          </cell>
          <cell r="B72" t="str">
            <v>VAR_fin</v>
          </cell>
          <cell r="C72" t="str">
            <v>SCOM-SHPLT</v>
          </cell>
          <cell r="D72">
            <v>1.8770820836817566</v>
          </cell>
          <cell r="E72">
            <v>2.160090934317219</v>
          </cell>
          <cell r="F72">
            <v>0.19132683263036365</v>
          </cell>
          <cell r="G72">
            <v>0.16737288443314946</v>
          </cell>
          <cell r="H72">
            <v>8.6688422246422939E-2</v>
          </cell>
          <cell r="I72">
            <v>3.0259383960476668E-2</v>
          </cell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SCOM-SHLTHC-NGA</v>
          </cell>
          <cell r="D73">
            <v>0.68566060529292117</v>
          </cell>
          <cell r="E73">
            <v>0.74270269198475392</v>
          </cell>
          <cell r="F73"/>
          <cell r="G73"/>
          <cell r="H73"/>
          <cell r="I73"/>
          <cell r="J73"/>
        </row>
        <row r="74">
          <cell r="A74" t="str">
            <v>SCOM-SHDEM</v>
          </cell>
          <cell r="B74" t="str">
            <v>VAR_fin</v>
          </cell>
          <cell r="C74" t="str">
            <v>SCOM-SHSOL</v>
          </cell>
          <cell r="D74">
            <v>0.62701168245594241</v>
          </cell>
          <cell r="E74">
            <v>0.68734327315193156</v>
          </cell>
          <cell r="F74">
            <v>0.5711191845275323</v>
          </cell>
          <cell r="G74">
            <v>0.81828586090888678</v>
          </cell>
          <cell r="H74">
            <v>1.149036587659209</v>
          </cell>
          <cell r="I74">
            <v>1.2626335603201819</v>
          </cell>
          <cell r="J74"/>
        </row>
        <row r="75">
          <cell r="A75" t="str">
            <v>SCOM-SHDEM</v>
          </cell>
          <cell r="B75" t="str">
            <v>VAR_fin</v>
          </cell>
          <cell r="C75" t="str">
            <v>SCOM-SHNGA</v>
          </cell>
          <cell r="D75">
            <v>24.189724974022322</v>
          </cell>
          <cell r="E75">
            <v>25.326933500886469</v>
          </cell>
          <cell r="F75">
            <v>18.570956807508022</v>
          </cell>
          <cell r="G75">
            <v>11.578184081278469</v>
          </cell>
          <cell r="H75">
            <v>1.9604526804658329</v>
          </cell>
          <cell r="I75">
            <v>0.79289834660740854</v>
          </cell>
          <cell r="J75"/>
        </row>
        <row r="76">
          <cell r="A76" t="str">
            <v>SCOM-SHDEM</v>
          </cell>
          <cell r="B76" t="str">
            <v>VAR_fin</v>
          </cell>
          <cell r="C76" t="str">
            <v>SCOM-SHNGAH</v>
          </cell>
          <cell r="D76"/>
          <cell r="E76"/>
          <cell r="F76">
            <v>2.2999494466316501</v>
          </cell>
          <cell r="G76">
            <v>4.1685638853179086</v>
          </cell>
          <cell r="H76">
            <v>6.0877768037707192</v>
          </cell>
          <cell r="I76">
            <v>4.9131413663034866</v>
          </cell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SCOM-SHLTHC-BIO</v>
          </cell>
          <cell r="D77">
            <v>1.4100756450457057</v>
          </cell>
          <cell r="E77">
            <v>1.5273782068813191</v>
          </cell>
          <cell r="F77"/>
          <cell r="G77"/>
          <cell r="H77"/>
          <cell r="I77"/>
          <cell r="J77"/>
          <cell r="K77"/>
        </row>
        <row r="78">
          <cell r="A78" t="str">
            <v>SCOM-SHDEM</v>
          </cell>
          <cell r="B78" t="str">
            <v>VAR_fin</v>
          </cell>
          <cell r="C78" t="str">
            <v>SCOM-SHLFO</v>
          </cell>
          <cell r="D78">
            <v>24.843074923892026</v>
          </cell>
          <cell r="E78">
            <v>19.260807104364545</v>
          </cell>
          <cell r="F78">
            <v>19.866533182813896</v>
          </cell>
          <cell r="G78">
            <v>10.315030513938718</v>
          </cell>
          <cell r="H78">
            <v>2.0339148270735352</v>
          </cell>
          <cell r="I78">
            <v>5.729522211378598E-2</v>
          </cell>
          <cell r="J78"/>
          <cell r="K78"/>
        </row>
        <row r="79">
          <cell r="A79" t="str">
            <v>ITOT-SWHSTG-NGAHP</v>
          </cell>
          <cell r="B79" t="str">
            <v>VAR_fout</v>
          </cell>
          <cell r="C79" t="str">
            <v>ITOT-SWHANGAH</v>
          </cell>
          <cell r="D79">
            <v>1.1125889638044571E-3</v>
          </cell>
          <cell r="E79">
            <v>2.2572633304924808E-3</v>
          </cell>
          <cell r="F79">
            <v>8.311226233821932E-4</v>
          </cell>
          <cell r="G79">
            <v>2.847983819703706E-4</v>
          </cell>
          <cell r="H79">
            <v>2.1997123469784938E-4</v>
          </cell>
          <cell r="I79">
            <v>7.0609921034652889E-4</v>
          </cell>
          <cell r="J79"/>
          <cell r="K79"/>
        </row>
        <row r="80">
          <cell r="A80" t="str">
            <v>ITOT-SWHSTG-NGAHP</v>
          </cell>
          <cell r="B80" t="str">
            <v>VAR_fin</v>
          </cell>
          <cell r="C80" t="str">
            <v>ITOT-SWHANGAH</v>
          </cell>
          <cell r="D80">
            <v>1.1125889638044571E-3</v>
          </cell>
          <cell r="E80">
            <v>2.2572633304924808E-3</v>
          </cell>
          <cell r="F80">
            <v>6.0569177903782047E-4</v>
          </cell>
          <cell r="G80">
            <v>1.3457066097418005E-4</v>
          </cell>
          <cell r="H80">
            <v>2.255356117496007E-4</v>
          </cell>
          <cell r="I80">
            <v>7.577139506816118E-4</v>
          </cell>
          <cell r="J80"/>
          <cell r="K80"/>
        </row>
        <row r="81">
          <cell r="A81" t="str">
            <v>ITOT-SWHSTG-NGAHP</v>
          </cell>
          <cell r="B81" t="str">
            <v>VAR_ncap</v>
          </cell>
          <cell r="C81" t="str">
            <v>-</v>
          </cell>
          <cell r="D81">
            <v>5.8526050413214899E-3</v>
          </cell>
          <cell r="E81">
            <v>1.83766582291525E-5</v>
          </cell>
          <cell r="F81">
            <v>2.4630248464734701E-5</v>
          </cell>
          <cell r="G81">
            <v>2.9987154490431399E-5</v>
          </cell>
          <cell r="H81">
            <v>8.0339135229868703E-5</v>
          </cell>
          <cell r="I81">
            <v>9.4074238050815301E-5</v>
          </cell>
          <cell r="J81"/>
          <cell r="K81"/>
        </row>
        <row r="82">
          <cell r="A82" t="str">
            <v>ITOT-SWHSTG-NGAHP</v>
          </cell>
          <cell r="B82" t="str">
            <v>VAR_cap</v>
          </cell>
          <cell r="C82" t="str">
            <v>-</v>
          </cell>
          <cell r="D82">
            <v>5.8526050413214899E-3</v>
          </cell>
          <cell r="E82">
            <v>2.2243208616724939E-4</v>
          </cell>
          <cell r="F82">
            <v>1.0976354313323947E-4</v>
          </cell>
          <cell r="G82">
            <v>1.5302561020097069E-4</v>
          </cell>
          <cell r="H82">
            <v>1.5720220282949019E-5</v>
          </cell>
          <cell r="I82">
            <v>3.1641740434883007E-5</v>
          </cell>
          <cell r="J82"/>
        </row>
        <row r="83">
          <cell r="A83" t="str">
            <v>ITOT-STG-ELCSPEC</v>
          </cell>
          <cell r="B83" t="str">
            <v>VAR_fout</v>
          </cell>
          <cell r="C83" t="str">
            <v>ITOT-ELS</v>
          </cell>
          <cell r="D83"/>
          <cell r="E83">
            <v>4.9759163366384661E-2</v>
          </cell>
          <cell r="F83">
            <v>5.2731108769548514E-2</v>
          </cell>
          <cell r="G83">
            <v>5.4006835604944708E-2</v>
          </cell>
          <cell r="H83">
            <v>0.23919014570739705</v>
          </cell>
          <cell r="I83">
            <v>1.1034935007083821</v>
          </cell>
          <cell r="J83"/>
          <cell r="K83"/>
        </row>
        <row r="84">
          <cell r="A84" t="str">
            <v>ITOT-STG-ELCSPEC</v>
          </cell>
          <cell r="B84" t="str">
            <v>VAR_fin</v>
          </cell>
          <cell r="C84" t="str">
            <v>ITOT-ELS</v>
          </cell>
          <cell r="D84"/>
          <cell r="E84">
            <v>4.9764390349919183E-2</v>
          </cell>
          <cell r="F84">
            <v>5.273647675071317E-2</v>
          </cell>
          <cell r="G84">
            <v>5.4010705486300277E-2</v>
          </cell>
          <cell r="H84">
            <v>0.2391974020393712</v>
          </cell>
          <cell r="I84">
            <v>1.1034970062548561</v>
          </cell>
          <cell r="J84"/>
          <cell r="K84"/>
        </row>
        <row r="85">
          <cell r="A85" t="str">
            <v>ITOT-STG-ELCSPEC</v>
          </cell>
          <cell r="B85" t="str">
            <v>VAR_ncap</v>
          </cell>
          <cell r="C85" t="str">
            <v>-</v>
          </cell>
          <cell r="D85"/>
          <cell r="E85">
            <v>1.8810841339498899E-3</v>
          </cell>
          <cell r="F85">
            <v>9.6032438215427397E-5</v>
          </cell>
          <cell r="G85">
            <v>2.2246923918602002E-5</v>
          </cell>
          <cell r="H85">
            <v>7.0309582761575399E-3</v>
          </cell>
          <cell r="I85">
            <v>4.8815260645516001E-2</v>
          </cell>
          <cell r="J85"/>
          <cell r="K85"/>
        </row>
        <row r="86">
          <cell r="A86" t="str">
            <v>ITOT-STG-ELCSPEC</v>
          </cell>
          <cell r="B86" t="str">
            <v>VAR_cap</v>
          </cell>
          <cell r="C86" t="str">
            <v>-</v>
          </cell>
          <cell r="D86"/>
          <cell r="E86">
            <v>1.8810841339498899E-3</v>
          </cell>
          <cell r="F86">
            <v>1.9758479096041097E-3</v>
          </cell>
          <cell r="G86">
            <v>1.9954202382866846E-3</v>
          </cell>
          <cell r="H86">
            <v>8.5402445214726452E-3</v>
          </cell>
          <cell r="I86">
            <v>5.6188738672979605E-2</v>
          </cell>
          <cell r="J86"/>
          <cell r="K86"/>
        </row>
        <row r="87">
          <cell r="A87" t="str">
            <v>D-RHES_LTH_CHPNGA</v>
          </cell>
          <cell r="B87" t="str">
            <v>VAR_fout</v>
          </cell>
          <cell r="C87" t="str">
            <v>RHSA_LTH</v>
          </cell>
          <cell r="D87">
            <v>3.9404823574557494E-3</v>
          </cell>
          <cell r="E87">
            <v>1.38902216532682E-5</v>
          </cell>
          <cell r="F87">
            <v>2.1195127685393589E-3</v>
          </cell>
          <cell r="G87">
            <v>2.9525003302142238E-3</v>
          </cell>
          <cell r="H87">
            <v>5.7348095496556114E-3</v>
          </cell>
          <cell r="I87">
            <v>1.550778125881796E-4</v>
          </cell>
          <cell r="J87"/>
          <cell r="K87"/>
          <cell r="L87"/>
        </row>
        <row r="88">
          <cell r="A88" t="str">
            <v>D-RHES_LTH_CHPNGA</v>
          </cell>
          <cell r="B88" t="str">
            <v>VAR_fout</v>
          </cell>
          <cell r="C88" t="str">
            <v>LTH</v>
          </cell>
          <cell r="D88"/>
          <cell r="E88"/>
          <cell r="F88">
            <v>6.7496709167507366E-7</v>
          </cell>
          <cell r="G88">
            <v>5.7636229116778135E-6</v>
          </cell>
          <cell r="H88">
            <v>8.7350178831850182E-6</v>
          </cell>
          <cell r="I88">
            <v>4.7938967779068198E-8</v>
          </cell>
          <cell r="J88"/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RHES_LTH_CHPNGA_ON</v>
          </cell>
          <cell r="D89">
            <v>3.3232220538912532E-2</v>
          </cell>
          <cell r="E89">
            <v>3.0725794139829505E-3</v>
          </cell>
          <cell r="F89">
            <v>3.8968300740177754E-3</v>
          </cell>
          <cell r="G89">
            <v>5.6270874312842681E-3</v>
          </cell>
          <cell r="H89"/>
          <cell r="I89"/>
          <cell r="J89"/>
          <cell r="K89"/>
        </row>
        <row r="90">
          <cell r="A90" t="str">
            <v>D-RHES_LTH_CHPNGA</v>
          </cell>
          <cell r="B90" t="str">
            <v>VAR_fin</v>
          </cell>
          <cell r="C90" t="str">
            <v>RHES_LTH_CHPNGA</v>
          </cell>
          <cell r="D90">
            <v>3.7172702896368287E-2</v>
          </cell>
          <cell r="E90">
            <v>3.0871384049964644E-3</v>
          </cell>
          <cell r="F90">
            <v>6.0184504965224766E-3</v>
          </cell>
          <cell r="G90">
            <v>8.5857889454352965E-3</v>
          </cell>
          <cell r="H90">
            <v>5.7440724208516437E-3</v>
          </cell>
          <cell r="I90">
            <v>1.5616128410024313E-4</v>
          </cell>
          <cell r="J90"/>
          <cell r="K90"/>
        </row>
        <row r="91">
          <cell r="A91" t="str">
            <v>D-ICOA</v>
          </cell>
          <cell r="B91" t="str">
            <v>VAR_fout</v>
          </cell>
          <cell r="C91" t="str">
            <v>ICOA</v>
          </cell>
          <cell r="D91">
            <v>3.5600697668375831</v>
          </cell>
          <cell r="E91">
            <v>3.4647336066615742</v>
          </cell>
          <cell r="F91">
            <v>1.3678960371944753</v>
          </cell>
          <cell r="G91">
            <v>9.6632042803424385E-5</v>
          </cell>
          <cell r="H91">
            <v>1.1673944620316094E-4</v>
          </cell>
          <cell r="I91">
            <v>8.4194731248640261E-6</v>
          </cell>
          <cell r="J91"/>
          <cell r="K91"/>
        </row>
        <row r="92">
          <cell r="A92" t="str">
            <v>D-ICOA</v>
          </cell>
          <cell r="B92" t="str">
            <v>VAR_fout</v>
          </cell>
          <cell r="C92" t="str">
            <v>CO2</v>
          </cell>
          <cell r="D92">
            <v>330.01846738584402</v>
          </cell>
          <cell r="E92">
            <v>321.180805337528</v>
          </cell>
          <cell r="F92">
            <v>126.803962647928</v>
          </cell>
          <cell r="G92">
            <v>8.9577903678774405E-3</v>
          </cell>
          <cell r="H92">
            <v>1.0821746663033E-2</v>
          </cell>
          <cell r="I92">
            <v>7.8048515867489596E-4</v>
          </cell>
          <cell r="J92"/>
          <cell r="K92"/>
        </row>
        <row r="93">
          <cell r="A93" t="str">
            <v>D-ICOA</v>
          </cell>
          <cell r="B93" t="str">
            <v>VAR_fin</v>
          </cell>
          <cell r="C93" t="str">
            <v>COA</v>
          </cell>
          <cell r="D93">
            <v>3.5600697668375831</v>
          </cell>
          <cell r="E93">
            <v>3.4647336066615742</v>
          </cell>
          <cell r="F93">
            <v>1.3678960371944753</v>
          </cell>
          <cell r="G93">
            <v>9.6632042803424385E-5</v>
          </cell>
          <cell r="H93">
            <v>1.1673944620316094E-4</v>
          </cell>
          <cell r="I93">
            <v>8.4194731248640261E-6</v>
          </cell>
          <cell r="J93"/>
        </row>
        <row r="94">
          <cell r="A94" t="str">
            <v>RHEM-SHCONBR1</v>
          </cell>
          <cell r="B94" t="str">
            <v>VAR_fout</v>
          </cell>
          <cell r="C94" t="str">
            <v>RHEM-SHCON</v>
          </cell>
          <cell r="D94">
            <v>4.637991777164252E-2</v>
          </cell>
          <cell r="E94">
            <v>2.9375176673134589</v>
          </cell>
          <cell r="F94">
            <v>2.4336548095651072</v>
          </cell>
          <cell r="G94">
            <v>4.246589790377171</v>
          </cell>
          <cell r="H94">
            <v>4.2470871151622509</v>
          </cell>
          <cell r="I94">
            <v>4.2471086908072211</v>
          </cell>
          <cell r="J94"/>
        </row>
        <row r="95">
          <cell r="A95" t="str">
            <v>RHEM-SHCONBR1</v>
          </cell>
          <cell r="B95" t="str">
            <v>VAR_fin</v>
          </cell>
          <cell r="C95" t="str">
            <v>CON</v>
          </cell>
          <cell r="D95">
            <v>4.637991777164252E-2</v>
          </cell>
          <cell r="E95">
            <v>2.9375176673134589</v>
          </cell>
          <cell r="F95">
            <v>2.4336548095651072</v>
          </cell>
          <cell r="G95">
            <v>4.246589790377171</v>
          </cell>
          <cell r="H95">
            <v>4.2470871151622509</v>
          </cell>
          <cell r="I95">
            <v>4.2471086908072211</v>
          </cell>
          <cell r="J95"/>
          <cell r="K95"/>
        </row>
        <row r="96">
          <cell r="A96" t="str">
            <v>RHEM-SHCONBR1</v>
          </cell>
          <cell r="B96" t="str">
            <v>VAR_ncap</v>
          </cell>
          <cell r="C96" t="str">
            <v>-</v>
          </cell>
          <cell r="D96">
            <v>0.17987139716926701</v>
          </cell>
          <cell r="E96">
            <v>2.7552228373750001E-2</v>
          </cell>
          <cell r="F96">
            <v>5.7255097204686703E-7</v>
          </cell>
          <cell r="G96">
            <v>9.2475638404846794E-2</v>
          </cell>
          <cell r="H96">
            <v>4.4339106790880299E-6</v>
          </cell>
          <cell r="I96">
            <v>0.10134749601048</v>
          </cell>
          <cell r="J96"/>
          <cell r="K96"/>
        </row>
        <row r="97">
          <cell r="A97" t="str">
            <v>RHEM-SHCONBR1</v>
          </cell>
          <cell r="B97" t="str">
            <v>VAR_cap</v>
          </cell>
          <cell r="C97" t="str">
            <v>-</v>
          </cell>
          <cell r="D97">
            <v>0.17987139716926701</v>
          </cell>
          <cell r="E97">
            <v>0.20742353189751078</v>
          </cell>
          <cell r="F97">
            <v>0.20742179583430573</v>
          </cell>
          <cell r="G97">
            <v>0.29989917443108882</v>
          </cell>
          <cell r="H97">
            <v>0.29992441983215434</v>
          </cell>
          <cell r="I97">
            <v>0.29998293765932166</v>
          </cell>
          <cell r="J97"/>
          <cell r="K97"/>
        </row>
        <row r="98">
          <cell r="A98" t="str">
            <v>RHEM-SHELCBR</v>
          </cell>
          <cell r="B98" t="str">
            <v>VAR_fout</v>
          </cell>
          <cell r="C98" t="str">
            <v>RHEM-SHAELCB</v>
          </cell>
          <cell r="D98">
            <v>4.6280812925150485</v>
          </cell>
          <cell r="E98">
            <v>3.1706326706163424</v>
          </cell>
          <cell r="F98">
            <v>3.4975655404622247E-2</v>
          </cell>
          <cell r="G98">
            <v>8.436561012243585E-3</v>
          </cell>
          <cell r="H98">
            <v>2.8023419427558411E-3</v>
          </cell>
          <cell r="I98">
            <v>1.5245748029644279E-3</v>
          </cell>
          <cell r="J98"/>
        </row>
        <row r="99">
          <cell r="A99" t="str">
            <v>RHEM-SHELCBR</v>
          </cell>
          <cell r="B99" t="str">
            <v>VAR_fin</v>
          </cell>
          <cell r="C99" t="str">
            <v>RHEM_ELC</v>
          </cell>
          <cell r="D99">
            <v>4.8716645184368952</v>
          </cell>
          <cell r="E99">
            <v>3.3375080743329932</v>
          </cell>
          <cell r="F99">
            <v>3.8024072112939934E-2</v>
          </cell>
          <cell r="G99">
            <v>9.1177927804044611E-3</v>
          </cell>
          <cell r="H99">
            <v>2.993365254465816E-3</v>
          </cell>
          <cell r="I99">
            <v>1.6214678036156505E-3</v>
          </cell>
          <cell r="J99"/>
        </row>
        <row r="100">
          <cell r="A100" t="str">
            <v>RHEM-SHELCBR</v>
          </cell>
          <cell r="B100" t="str">
            <v>VAR_ncap</v>
          </cell>
          <cell r="C100" t="str">
            <v>-</v>
          </cell>
          <cell r="D100">
            <v>2.2651941176480099E-6</v>
          </cell>
          <cell r="E100">
            <v>1.08870902337084E-6</v>
          </cell>
          <cell r="F100">
            <v>6.4056365565682803E-7</v>
          </cell>
          <cell r="G100">
            <v>1.42155346077631E-6</v>
          </cell>
          <cell r="H100">
            <v>1.8599074236915701E-4</v>
          </cell>
          <cell r="I100">
            <v>8.3327102123983901E-7</v>
          </cell>
          <cell r="J100"/>
          <cell r="K100"/>
        </row>
        <row r="101">
          <cell r="A101" t="str">
            <v>RHEM-SHELCBR</v>
          </cell>
          <cell r="B101" t="str">
            <v>VAR_cap</v>
          </cell>
          <cell r="C101" t="str">
            <v>-</v>
          </cell>
          <cell r="D101">
            <v>0.32680340914245665</v>
          </cell>
          <cell r="E101">
            <v>0.32678922214175021</v>
          </cell>
          <cell r="F101">
            <v>4.4639368899466181E-3</v>
          </cell>
          <cell r="G101">
            <v>1.1030906162003973E-3</v>
          </cell>
          <cell r="H101">
            <v>3.3053999164712767E-4</v>
          </cell>
          <cell r="I101">
            <v>1.8945156577933819E-4</v>
          </cell>
          <cell r="J101"/>
          <cell r="K101"/>
        </row>
        <row r="102">
          <cell r="A102" t="str">
            <v>RHNM-SHLTHCHPNGA</v>
          </cell>
          <cell r="B102" t="str">
            <v>VAR_fout</v>
          </cell>
          <cell r="C102" t="str">
            <v>RHNM-SHLTHC-NGA</v>
          </cell>
          <cell r="D102"/>
          <cell r="E102">
            <v>2.5729744647440263E-3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RHNMLTHCHPC</v>
          </cell>
          <cell r="D103"/>
          <cell r="E103">
            <v>2.5729744647440263E-3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VAR_fin</v>
          </cell>
          <cell r="C104" t="str">
            <v>RHNM_LTH_CHPNGA_ON</v>
          </cell>
          <cell r="D104"/>
          <cell r="E104">
            <v>2.5989641058020447E-3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VAR_ncap</v>
          </cell>
          <cell r="C105" t="str">
            <v>-</v>
          </cell>
          <cell r="D105"/>
          <cell r="E105">
            <v>6.4014431428147198E-4</v>
          </cell>
          <cell r="F105">
            <v>1.0841156000507099E-3</v>
          </cell>
          <cell r="G105">
            <v>5.4628832162087602E-2</v>
          </cell>
          <cell r="H105">
            <v>1.8729090651535898E-2</v>
          </cell>
          <cell r="I105">
            <v>3.7918548721915702E-5</v>
          </cell>
          <cell r="J105"/>
          <cell r="K105"/>
        </row>
        <row r="106">
          <cell r="A106" t="str">
            <v>RHNM-SHLTHCHPNGA</v>
          </cell>
          <cell r="B106" t="str">
            <v>VAR_cap</v>
          </cell>
          <cell r="C106" t="str">
            <v>-</v>
          </cell>
          <cell r="D106"/>
          <cell r="E106">
            <v>6.4014431428147198E-4</v>
          </cell>
          <cell r="F106">
            <v>1.320294282316336E-3</v>
          </cell>
          <cell r="G106">
            <v>5.5530411907138595E-2</v>
          </cell>
          <cell r="H106">
            <v>5.4357718799903691E-2</v>
          </cell>
          <cell r="I106">
            <v>1.0783093713610109E-4</v>
          </cell>
          <cell r="J106"/>
          <cell r="K106"/>
        </row>
        <row r="107">
          <cell r="A107" t="str">
            <v>RHEM-SHCONBR2</v>
          </cell>
          <cell r="B107" t="str">
            <v>VAR_fout</v>
          </cell>
          <cell r="C107" t="str">
            <v>RHEM-SHCON</v>
          </cell>
          <cell r="D107">
            <v>2.5425144793521539E-3</v>
          </cell>
          <cell r="E107">
            <v>0.61273771471490379</v>
          </cell>
          <cell r="F107">
            <v>0.43221158274265253</v>
          </cell>
          <cell r="G107">
            <v>2.3300851687639588</v>
          </cell>
          <cell r="H107">
            <v>6.1129956047869856</v>
          </cell>
          <cell r="I107">
            <v>6.614912140686342</v>
          </cell>
          <cell r="J107"/>
          <cell r="K107"/>
        </row>
        <row r="108">
          <cell r="A108" t="str">
            <v>RHEM-SHCONBR2</v>
          </cell>
          <cell r="B108" t="str">
            <v>VAR_fin</v>
          </cell>
          <cell r="C108" t="str">
            <v>CON</v>
          </cell>
          <cell r="D108">
            <v>2.5425144793521539E-3</v>
          </cell>
          <cell r="E108">
            <v>0.61273771471490379</v>
          </cell>
          <cell r="F108">
            <v>0.43221158274265253</v>
          </cell>
          <cell r="G108">
            <v>2.3300851687639588</v>
          </cell>
          <cell r="H108">
            <v>6.1129956047869856</v>
          </cell>
          <cell r="I108">
            <v>6.614912140686342</v>
          </cell>
          <cell r="J108"/>
          <cell r="K108"/>
        </row>
        <row r="109">
          <cell r="A109" t="str">
            <v>RHEM-SHCONBR2</v>
          </cell>
          <cell r="B109" t="str">
            <v>VAR_ncap</v>
          </cell>
          <cell r="C109" t="str">
            <v>-</v>
          </cell>
          <cell r="D109">
            <v>3.4959695413486902E-4</v>
          </cell>
          <cell r="E109">
            <v>4.29129049336332E-2</v>
          </cell>
          <cell r="F109">
            <v>5.5905858172200503E-7</v>
          </cell>
          <cell r="G109">
            <v>0.12130455303806199</v>
          </cell>
          <cell r="H109">
            <v>5.0755848666213702E-2</v>
          </cell>
          <cell r="I109">
            <v>5.3714833123329302E-2</v>
          </cell>
          <cell r="J109"/>
        </row>
        <row r="110">
          <cell r="A110" t="str">
            <v>RHEM-SHCONBR2</v>
          </cell>
          <cell r="B110" t="str">
            <v>VAR_cap</v>
          </cell>
          <cell r="C110" t="str">
            <v>-</v>
          </cell>
          <cell r="D110">
            <v>3.4959695413486902E-4</v>
          </cell>
          <cell r="E110">
            <v>4.3262409418180679E-2</v>
          </cell>
          <cell r="F110">
            <v>4.3260730453422894E-2</v>
          </cell>
          <cell r="G110">
            <v>0.16456696355598921</v>
          </cell>
          <cell r="H110">
            <v>0.43168021533746931</v>
          </cell>
          <cell r="I110">
            <v>0.46711606935512284</v>
          </cell>
          <cell r="J110"/>
        </row>
        <row r="111">
          <cell r="A111" t="str">
            <v>D-RHSA_LTH</v>
          </cell>
          <cell r="B111" t="str">
            <v>VAR_fout</v>
          </cell>
          <cell r="C111" t="str">
            <v>RHSA_LTH</v>
          </cell>
          <cell r="D111">
            <v>5.8536098067855594E-3</v>
          </cell>
          <cell r="E111">
            <v>5.2428326277150416E-4</v>
          </cell>
          <cell r="F111">
            <v>9.4440136267973998E-3</v>
          </cell>
          <cell r="G111">
            <v>2.1003323340676121</v>
          </cell>
          <cell r="H111">
            <v>1.1541752934790768</v>
          </cell>
          <cell r="I111">
            <v>1.2754315213675182E-3</v>
          </cell>
          <cell r="J111"/>
          <cell r="K111"/>
        </row>
        <row r="112">
          <cell r="A112" t="str">
            <v>D-RHSA_LTH</v>
          </cell>
          <cell r="B112" t="str">
            <v>VAR_fin</v>
          </cell>
          <cell r="C112" t="str">
            <v>RHEM_LTH_CHPWOD_ON</v>
          </cell>
          <cell r="D112">
            <v>1.3091922646579979E-4</v>
          </cell>
          <cell r="E112">
            <v>1.1060599165343674E-4</v>
          </cell>
          <cell r="F112">
            <v>4.2693796184383782E-5</v>
          </cell>
          <cell r="G112">
            <v>6.06352200646749E-4</v>
          </cell>
          <cell r="H112">
            <v>9.5861075908490101E-6</v>
          </cell>
          <cell r="I112">
            <v>1.2754315213675182E-3</v>
          </cell>
          <cell r="J112"/>
        </row>
        <row r="113">
          <cell r="A113" t="str">
            <v>D-RHSA_LTH</v>
          </cell>
          <cell r="B113" t="str">
            <v>VAR_fin</v>
          </cell>
          <cell r="C113" t="str">
            <v>RHNM_LTH_CHPWOD_ON</v>
          </cell>
          <cell r="D113">
            <v>1.2351257747591723E-4</v>
          </cell>
          <cell r="E113">
            <v>1.0609939857678509E-4</v>
          </cell>
          <cell r="F113">
            <v>2.5828082603545075E-5</v>
          </cell>
          <cell r="G113">
            <v>5.8033493062692779E-4</v>
          </cell>
          <cell r="H113"/>
          <cell r="I113"/>
          <cell r="J113"/>
        </row>
        <row r="114">
          <cell r="A114" t="str">
            <v>D-RHSA_LTH</v>
          </cell>
          <cell r="B114" t="str">
            <v>VAR_fin</v>
          </cell>
          <cell r="C114" t="str">
            <v>RHES_LTH_CHPWOD_ON</v>
          </cell>
          <cell r="D114">
            <v>9.1237834390319893E-5</v>
          </cell>
          <cell r="E114">
            <v>1.3637930717344283E-4</v>
          </cell>
          <cell r="F114">
            <v>2.2718971696822379E-5</v>
          </cell>
          <cell r="G114">
            <v>3.991056293637526E-4</v>
          </cell>
          <cell r="H114"/>
          <cell r="I114"/>
          <cell r="J114"/>
        </row>
        <row r="115">
          <cell r="A115" t="str">
            <v>D-RHSA_LTH</v>
          </cell>
          <cell r="B115" t="str">
            <v>VAR_fin</v>
          </cell>
          <cell r="C115" t="str">
            <v>RHNS_LTH_CHPWOD_ON</v>
          </cell>
          <cell r="D115">
            <v>1.388068196721815E-4</v>
          </cell>
          <cell r="E115">
            <v>1.0008206107504049E-4</v>
          </cell>
          <cell r="F115">
            <v>1.8249216362159862E-5</v>
          </cell>
          <cell r="G115">
            <v>1.2600659683119329E-4</v>
          </cell>
          <cell r="H115"/>
          <cell r="I115"/>
          <cell r="J115"/>
        </row>
        <row r="116">
          <cell r="A116" t="str">
            <v>D-RHSA_LTH</v>
          </cell>
          <cell r="B116" t="str">
            <v>VAR_fin</v>
          </cell>
          <cell r="C116" t="str">
            <v>RHEM_LTH_CHPNGA_ON</v>
          </cell>
          <cell r="D116">
            <v>3.7703043350456847E-3</v>
          </cell>
          <cell r="E116">
            <v>2.1596378063675837E-6</v>
          </cell>
          <cell r="F116">
            <v>4.6427749892497122E-3</v>
          </cell>
          <cell r="G116">
            <v>0.77787724648011114</v>
          </cell>
          <cell r="H116">
            <v>1.0327874004659545</v>
          </cell>
          <cell r="I116"/>
          <cell r="J116"/>
          <cell r="K116"/>
        </row>
        <row r="117">
          <cell r="A117" t="str">
            <v>D-RHSA_LTH</v>
          </cell>
          <cell r="B117" t="str">
            <v>VAR_fin</v>
          </cell>
          <cell r="C117" t="str">
            <v>RHNM_LTH_CHPNGA_ON</v>
          </cell>
          <cell r="D117">
            <v>1.7739945665691702E-4</v>
          </cell>
          <cell r="E117">
            <v>1.9765009274152184E-5</v>
          </cell>
          <cell r="F117">
            <v>7.4502552655263479E-4</v>
          </cell>
          <cell r="G117">
            <v>1.3148002715869149</v>
          </cell>
          <cell r="H117">
            <v>0.12137830690553096</v>
          </cell>
          <cell r="I117"/>
          <cell r="J117"/>
        </row>
        <row r="118">
          <cell r="A118" t="str">
            <v>D-RHSA_LTH</v>
          </cell>
          <cell r="B118" t="str">
            <v>VAR_fin</v>
          </cell>
          <cell r="C118" t="str">
            <v>RHES_LTH_CHPNGA_ON</v>
          </cell>
          <cell r="D118">
            <v>1.3047783311249217E-3</v>
          </cell>
          <cell r="E118">
            <v>2.460114562392246E-5</v>
          </cell>
          <cell r="F118">
            <v>3.8968300740177754E-3</v>
          </cell>
          <cell r="G118">
            <v>5.6270874312842681E-3</v>
          </cell>
          <cell r="H118"/>
          <cell r="I118"/>
          <cell r="J118"/>
          <cell r="K118"/>
        </row>
        <row r="119">
          <cell r="A119" t="str">
            <v>D-RHSA_LTH</v>
          </cell>
          <cell r="B119" t="str">
            <v>VAR_fin</v>
          </cell>
          <cell r="C119" t="str">
            <v>RHNS_LTH_CHPNGA_ON</v>
          </cell>
          <cell r="D119">
            <v>1.166512259538175E-4</v>
          </cell>
          <cell r="E119">
            <v>2.4590711588356714E-5</v>
          </cell>
          <cell r="F119">
            <v>4.9892970130369493E-5</v>
          </cell>
          <cell r="G119">
            <v>3.1592921183193844E-4</v>
          </cell>
          <cell r="H119"/>
          <cell r="I119"/>
          <cell r="J119"/>
          <cell r="K119"/>
        </row>
        <row r="120">
          <cell r="A120" t="str">
            <v>RHEM-SHLTHCHPWOD</v>
          </cell>
          <cell r="B120" t="str">
            <v>VAR_ncap</v>
          </cell>
          <cell r="C120" t="str">
            <v>-</v>
          </cell>
          <cell r="D120"/>
          <cell r="E120"/>
          <cell r="F120"/>
          <cell r="G120">
            <v>1.6399500014370699E-4</v>
          </cell>
          <cell r="H120">
            <v>1.16646039054398E-4</v>
          </cell>
          <cell r="I120">
            <v>9.2026869547358396E-5</v>
          </cell>
          <cell r="J120"/>
          <cell r="K120"/>
        </row>
        <row r="121">
          <cell r="A121" t="str">
            <v>RHEM-SHLTHCHPWOD</v>
          </cell>
          <cell r="B121" t="str">
            <v>VAR_cap</v>
          </cell>
          <cell r="C121" t="str">
            <v>-</v>
          </cell>
          <cell r="D121"/>
          <cell r="E121"/>
          <cell r="F121"/>
          <cell r="G121">
            <v>1.6399500014370699E-4</v>
          </cell>
          <cell r="H121">
            <v>2.19865356179948E-4</v>
          </cell>
          <cell r="I121">
            <v>1.4048587200581002E-4</v>
          </cell>
          <cell r="J121"/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RHEM_LTH_CHPWOD_ON</v>
          </cell>
          <cell r="D122">
            <v>1.3091922646579979E-4</v>
          </cell>
          <cell r="E122">
            <v>1.1060599165343674E-4</v>
          </cell>
          <cell r="F122">
            <v>4.2693796184383782E-5</v>
          </cell>
          <cell r="G122">
            <v>6.06352200646749E-4</v>
          </cell>
          <cell r="H122">
            <v>9.5861075908490101E-6</v>
          </cell>
          <cell r="I122">
            <v>1.2754315213675182E-3</v>
          </cell>
          <cell r="J122"/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RHSA_LTH</v>
          </cell>
          <cell r="D123">
            <v>7.4073691164166285E-5</v>
          </cell>
          <cell r="E123">
            <v>1.2393230648080955E-4</v>
          </cell>
          <cell r="F123">
            <v>3.1666962222332904E-5</v>
          </cell>
          <cell r="G123">
            <v>8.3164977960657402E-4</v>
          </cell>
          <cell r="H123">
            <v>1.0748938999130091E-3</v>
          </cell>
          <cell r="I123">
            <v>6.3924844828699707E-4</v>
          </cell>
          <cell r="J123"/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LTH</v>
          </cell>
          <cell r="D124"/>
          <cell r="E124">
            <v>3.9088792772055978E-6</v>
          </cell>
          <cell r="F124">
            <v>2.163812062291092E-6</v>
          </cell>
          <cell r="G124">
            <v>2.542307278498432E-7</v>
          </cell>
          <cell r="H124">
            <v>1.088625499210189E-7</v>
          </cell>
          <cell r="I124">
            <v>3.5142161885724766E-6</v>
          </cell>
          <cell r="J124"/>
          <cell r="K124"/>
        </row>
        <row r="125">
          <cell r="A125" t="str">
            <v>D-RHEM_LTH_CHPWOD</v>
          </cell>
          <cell r="B125" t="str">
            <v>VAR_fin</v>
          </cell>
          <cell r="C125" t="str">
            <v>RHEM_LTH_CHPWOD</v>
          </cell>
          <cell r="D125">
            <v>2.0499291762996613E-4</v>
          </cell>
          <cell r="E125">
            <v>2.3844717741145201E-4</v>
          </cell>
          <cell r="F125">
            <v>7.6524570469007781E-5</v>
          </cell>
          <cell r="G125">
            <v>1.4392433393635689E-3</v>
          </cell>
          <cell r="H125">
            <v>1.0863926299242233E-3</v>
          </cell>
          <cell r="I125">
            <v>1.9187522522263693E-3</v>
          </cell>
          <cell r="J125"/>
          <cell r="K125"/>
        </row>
        <row r="126">
          <cell r="A126" t="str">
            <v>RHES-SHLTHDH</v>
          </cell>
          <cell r="B126" t="str">
            <v>VAR_fout</v>
          </cell>
          <cell r="C126" t="str">
            <v>RHES-SHLTHD</v>
          </cell>
          <cell r="D126">
            <v>3.1427186343970299</v>
          </cell>
          <cell r="E126">
            <v>3.5038111308654294</v>
          </cell>
          <cell r="F126">
            <v>1.4404704754583488</v>
          </cell>
          <cell r="G126">
            <v>2.9278884510060248</v>
          </cell>
          <cell r="H126">
            <v>2.9104691204223747</v>
          </cell>
          <cell r="I126">
            <v>2.385739384274951</v>
          </cell>
          <cell r="J126"/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RHESLTHDHC</v>
          </cell>
          <cell r="D127">
            <v>3.1427186343970299</v>
          </cell>
          <cell r="E127">
            <v>3.5038111308654294</v>
          </cell>
          <cell r="F127">
            <v>1.4404704754583488</v>
          </cell>
          <cell r="G127">
            <v>2.9278884510060248</v>
          </cell>
          <cell r="H127">
            <v>2.9104691204223747</v>
          </cell>
          <cell r="I127">
            <v>2.385739384274951</v>
          </cell>
          <cell r="J127"/>
        </row>
        <row r="128">
          <cell r="A128" t="str">
            <v>RHES-SHLTHDH</v>
          </cell>
          <cell r="B128" t="str">
            <v>VAR_fin</v>
          </cell>
          <cell r="C128" t="str">
            <v>RHES_LTH_DH</v>
          </cell>
          <cell r="D128">
            <v>3.174463267067706</v>
          </cell>
          <cell r="E128">
            <v>3.5392031624903315</v>
          </cell>
          <cell r="F128">
            <v>1.6135141086197888</v>
          </cell>
          <cell r="G128">
            <v>3.2586591825911349</v>
          </cell>
          <cell r="H128">
            <v>3.2534599624185843</v>
          </cell>
          <cell r="I128">
            <v>2.6707236837987809</v>
          </cell>
          <cell r="J128"/>
          <cell r="K128"/>
        </row>
        <row r="129">
          <cell r="A129" t="str">
            <v>RHES-SHLTHDH</v>
          </cell>
          <cell r="B129" t="str">
            <v>VAR_ncap</v>
          </cell>
          <cell r="C129" t="str">
            <v>-</v>
          </cell>
          <cell r="D129"/>
          <cell r="E129">
            <v>6.62169473349625E-2</v>
          </cell>
          <cell r="F129">
            <v>4.6802321967327899E-2</v>
          </cell>
          <cell r="G129">
            <v>0.105333937996997</v>
          </cell>
          <cell r="H129">
            <v>6.8429866015445401E-2</v>
          </cell>
          <cell r="I129">
            <v>7.6590418366619104E-2</v>
          </cell>
          <cell r="J129"/>
          <cell r="K129"/>
          <cell r="L129"/>
          <cell r="M129"/>
        </row>
        <row r="130">
          <cell r="A130" t="str">
            <v>RHES-SHLTHDH</v>
          </cell>
          <cell r="B130" t="str">
            <v>VAR_cap</v>
          </cell>
          <cell r="C130" t="str">
            <v>-</v>
          </cell>
          <cell r="D130">
            <v>0.31204626794151202</v>
          </cell>
          <cell r="E130">
            <v>0.30593150981523687</v>
          </cell>
          <cell r="F130">
            <v>0.15755270589010001</v>
          </cell>
          <cell r="G130">
            <v>0.23662439816755299</v>
          </cell>
          <cell r="H130">
            <v>0.24079583791618503</v>
          </cell>
          <cell r="I130">
            <v>0.24630470358572898</v>
          </cell>
          <cell r="J130"/>
          <cell r="K130"/>
        </row>
        <row r="131">
          <cell r="A131" t="str">
            <v>RHEM-SHCONBR3</v>
          </cell>
          <cell r="B131" t="str">
            <v>VAR_fout</v>
          </cell>
          <cell r="C131" t="str">
            <v>RHEM-SHCON</v>
          </cell>
          <cell r="D131">
            <v>2.9611295200491545E-4</v>
          </cell>
          <cell r="E131">
            <v>1.716312361505992E-3</v>
          </cell>
          <cell r="F131">
            <v>9.0961880660655537E-4</v>
          </cell>
          <cell r="G131">
            <v>1.489074408402848E-3</v>
          </cell>
          <cell r="H131">
            <v>1.7865526288410742</v>
          </cell>
          <cell r="I131">
            <v>4.3168696721794246</v>
          </cell>
          <cell r="J131"/>
        </row>
        <row r="132">
          <cell r="A132" t="str">
            <v>RHEM-SHCONBR3</v>
          </cell>
          <cell r="B132" t="str">
            <v>VAR_fin</v>
          </cell>
          <cell r="C132" t="str">
            <v>CON</v>
          </cell>
          <cell r="D132">
            <v>2.9611295200491545E-4</v>
          </cell>
          <cell r="E132">
            <v>1.716312361505992E-3</v>
          </cell>
          <cell r="F132">
            <v>9.0961880660655537E-4</v>
          </cell>
          <cell r="G132">
            <v>1.489074408402848E-3</v>
          </cell>
          <cell r="H132">
            <v>1.7865526288410742</v>
          </cell>
          <cell r="I132">
            <v>4.3168696721794246</v>
          </cell>
          <cell r="J132"/>
          <cell r="K132"/>
        </row>
        <row r="133">
          <cell r="A133" t="str">
            <v>RHEM-SHCONBR3</v>
          </cell>
          <cell r="B133" t="str">
            <v>VAR_ncap</v>
          </cell>
          <cell r="C133" t="str">
            <v>-</v>
          </cell>
          <cell r="D133">
            <v>5.6102304177929302E-6</v>
          </cell>
          <cell r="E133">
            <v>1.07172671574956E-4</v>
          </cell>
          <cell r="F133">
            <v>4.1172009619441202E-7</v>
          </cell>
          <cell r="G133">
            <v>5.6209964078574703E-6</v>
          </cell>
          <cell r="H133">
            <v>0.126034423598645</v>
          </cell>
          <cell r="I133">
            <v>0.178706195459026</v>
          </cell>
          <cell r="J133"/>
        </row>
        <row r="134">
          <cell r="A134" t="str">
            <v>RHEM-SHCONBR3</v>
          </cell>
          <cell r="B134" t="str">
            <v>VAR_cap</v>
          </cell>
          <cell r="C134" t="str">
            <v>-</v>
          </cell>
          <cell r="D134">
            <v>5.6102304177929302E-6</v>
          </cell>
          <cell r="E134">
            <v>1.1270862772350479E-4</v>
          </cell>
          <cell r="F134">
            <v>1.1260125824222439E-4</v>
          </cell>
          <cell r="G134">
            <v>1.1835387156851264E-4</v>
          </cell>
          <cell r="H134">
            <v>0.12617061325649753</v>
          </cell>
          <cell r="I134">
            <v>0.30482912078922314</v>
          </cell>
          <cell r="J134"/>
          <cell r="K134"/>
        </row>
        <row r="135">
          <cell r="A135" t="str">
            <v>D-RHSA_ELC</v>
          </cell>
          <cell r="B135" t="str">
            <v>VAR_fout</v>
          </cell>
          <cell r="C135" t="str">
            <v>RHSA_ELC</v>
          </cell>
          <cell r="D135">
            <v>57.381239922836365</v>
          </cell>
          <cell r="E135">
            <v>55.023271053031749</v>
          </cell>
          <cell r="F135">
            <v>58.526873670364239</v>
          </cell>
          <cell r="G135">
            <v>56.824932310023513</v>
          </cell>
          <cell r="H135">
            <v>51.433666073464835</v>
          </cell>
          <cell r="I135">
            <v>52.255337342458198</v>
          </cell>
          <cell r="J135"/>
        </row>
        <row r="136">
          <cell r="A136" t="str">
            <v>D-RHSA_ELC</v>
          </cell>
          <cell r="B136" t="str">
            <v>VAR_fin</v>
          </cell>
          <cell r="C136" t="str">
            <v>RHNS_ELC</v>
          </cell>
          <cell r="D136">
            <v>11.712568701446864</v>
          </cell>
          <cell r="E136">
            <v>14.798828169335524</v>
          </cell>
          <cell r="F136">
            <v>15.223247357553293</v>
          </cell>
          <cell r="G136">
            <v>14.833318310952889</v>
          </cell>
          <cell r="H136">
            <v>13.553780572768954</v>
          </cell>
          <cell r="I136">
            <v>13.663543755532039</v>
          </cell>
          <cell r="J136"/>
          <cell r="K136"/>
        </row>
        <row r="137">
          <cell r="A137" t="str">
            <v>D-RHSA_ELC</v>
          </cell>
          <cell r="B137" t="str">
            <v>VAR_fin</v>
          </cell>
          <cell r="C137" t="str">
            <v>RHES_ELC</v>
          </cell>
          <cell r="D137">
            <v>16.694772072826961</v>
          </cell>
          <cell r="E137">
            <v>12.752383258232888</v>
          </cell>
          <cell r="F137">
            <v>13.365536370444328</v>
          </cell>
          <cell r="G137">
            <v>12.972187421505858</v>
          </cell>
          <cell r="H137">
            <v>11.508433456553238</v>
          </cell>
          <cell r="I137">
            <v>11.849021325286826</v>
          </cell>
          <cell r="J137"/>
        </row>
        <row r="138">
          <cell r="A138" t="str">
            <v>D-RHSA_ELC</v>
          </cell>
          <cell r="B138" t="str">
            <v>VAR_fin</v>
          </cell>
          <cell r="C138" t="str">
            <v>RHNM_ELC</v>
          </cell>
          <cell r="D138">
            <v>12.898167529679769</v>
          </cell>
          <cell r="E138">
            <v>14.779034669602977</v>
          </cell>
          <cell r="F138">
            <v>15.663337225976466</v>
          </cell>
          <cell r="G138">
            <v>15.450366396077579</v>
          </cell>
          <cell r="H138">
            <v>14.346948384636605</v>
          </cell>
          <cell r="I138">
            <v>14.296643313588051</v>
          </cell>
          <cell r="J138"/>
          <cell r="K138"/>
        </row>
        <row r="139">
          <cell r="A139" t="str">
            <v>D-RHSA_ELC</v>
          </cell>
          <cell r="B139" t="str">
            <v>VAR_fin</v>
          </cell>
          <cell r="C139" t="str">
            <v>RHEM_ELC</v>
          </cell>
          <cell r="D139">
            <v>16.075911147596468</v>
          </cell>
          <cell r="E139">
            <v>12.693089883997635</v>
          </cell>
          <cell r="F139">
            <v>14.27483053960065</v>
          </cell>
          <cell r="G139">
            <v>13.569060181487183</v>
          </cell>
          <cell r="H139">
            <v>12.024503659506054</v>
          </cell>
          <cell r="I139">
            <v>12.44612894805126</v>
          </cell>
          <cell r="J139"/>
          <cell r="K139"/>
        </row>
        <row r="140">
          <cell r="A140" t="str">
            <v>SCOM-SHLTHDH</v>
          </cell>
          <cell r="B140" t="str">
            <v>VAR_fout</v>
          </cell>
          <cell r="C140" t="str">
            <v>SCOM-SHLTHD</v>
          </cell>
          <cell r="D140">
            <v>5.5539123405937643</v>
          </cell>
          <cell r="E140">
            <v>6.0159411131925431</v>
          </cell>
          <cell r="F140">
            <v>4.9480702905660534</v>
          </cell>
          <cell r="G140">
            <v>7.8931729194477098</v>
          </cell>
          <cell r="H140">
            <v>8.2932230592674792</v>
          </cell>
          <cell r="I140">
            <v>6.8408286030721479</v>
          </cell>
          <cell r="J140"/>
        </row>
        <row r="141">
          <cell r="A141" t="str">
            <v>SCOM-SHLTHDH</v>
          </cell>
          <cell r="B141" t="str">
            <v>VAR_fin</v>
          </cell>
          <cell r="C141" t="str">
            <v>SCOMLTHDHC</v>
          </cell>
          <cell r="D141">
            <v>5.5539123405937643</v>
          </cell>
          <cell r="E141">
            <v>6.0159411131925431</v>
          </cell>
          <cell r="F141">
            <v>4.9480702905660534</v>
          </cell>
          <cell r="G141">
            <v>7.8931729194477098</v>
          </cell>
          <cell r="H141">
            <v>8.2932230592674792</v>
          </cell>
          <cell r="I141">
            <v>6.8408286030721479</v>
          </cell>
          <cell r="J141"/>
          <cell r="K141"/>
        </row>
        <row r="142">
          <cell r="A142" t="str">
            <v>SCOM-SHLTHDH</v>
          </cell>
          <cell r="B142" t="str">
            <v>VAR_fin</v>
          </cell>
          <cell r="C142" t="str">
            <v>SCOM_LTH_DH</v>
          </cell>
          <cell r="D142">
            <v>5.6100124652462284</v>
          </cell>
          <cell r="E142">
            <v>6.0767081951439819</v>
          </cell>
          <cell r="F142">
            <v>6.0268155477090595</v>
          </cell>
          <cell r="G142">
            <v>9.5166990407696819</v>
          </cell>
          <cell r="H142">
            <v>9.9990344489427674</v>
          </cell>
          <cell r="I142">
            <v>8.2479007706170542</v>
          </cell>
          <cell r="J142"/>
          <cell r="K142"/>
        </row>
        <row r="143">
          <cell r="A143" t="str">
            <v>SCOM-SHLTHDH</v>
          </cell>
          <cell r="B143" t="str">
            <v>VAR_ncap</v>
          </cell>
          <cell r="C143" t="str">
            <v>-</v>
          </cell>
          <cell r="D143">
            <v>5.4360999367664699E-8</v>
          </cell>
          <cell r="E143">
            <v>8.6921749925219297E-2</v>
          </cell>
          <cell r="F143">
            <v>9.6776187825276097E-2</v>
          </cell>
          <cell r="G143">
            <v>0.30358078639797698</v>
          </cell>
          <cell r="H143">
            <v>0.29624222557668101</v>
          </cell>
          <cell r="I143">
            <v>0.50615940405051396</v>
          </cell>
          <cell r="J143"/>
          <cell r="K143"/>
        </row>
        <row r="144">
          <cell r="A144" t="str">
            <v>SCOM-SHLTHDH</v>
          </cell>
          <cell r="B144" t="str">
            <v>VAR_cap</v>
          </cell>
          <cell r="C144" t="str">
            <v>-</v>
          </cell>
          <cell r="D144">
            <v>0.84970030729120438</v>
          </cell>
          <cell r="E144">
            <v>0.84925494474413044</v>
          </cell>
          <cell r="F144">
            <v>0.60841204784767311</v>
          </cell>
          <cell r="G144">
            <v>0.84961320579271504</v>
          </cell>
          <cell r="H144">
            <v>0.84969762053754205</v>
          </cell>
          <cell r="I144">
            <v>0.84969287749211198</v>
          </cell>
          <cell r="J144"/>
          <cell r="K144"/>
        </row>
        <row r="145">
          <cell r="A145" t="str">
            <v>ITOT-SWHSTG-ELC</v>
          </cell>
          <cell r="B145" t="str">
            <v>VAR_fout</v>
          </cell>
          <cell r="C145" t="str">
            <v>ITOT-SWHAELC</v>
          </cell>
          <cell r="D145">
            <v>1.3391209667074238E-4</v>
          </cell>
          <cell r="E145">
            <v>7.5588964094881533E-5</v>
          </cell>
          <cell r="F145">
            <v>6.1899934157971966E-2</v>
          </cell>
          <cell r="G145">
            <v>2.815685028823536E-4</v>
          </cell>
          <cell r="H145">
            <v>2.4652113869668709E-4</v>
          </cell>
          <cell r="I145">
            <v>1.2940822888487971</v>
          </cell>
          <cell r="J145"/>
          <cell r="K145"/>
        </row>
        <row r="146">
          <cell r="A146" t="str">
            <v>ITOT-SWHSTG-ELC</v>
          </cell>
          <cell r="B146" t="str">
            <v>VAR_fin</v>
          </cell>
          <cell r="C146" t="str">
            <v>ITOT-SWHAELC</v>
          </cell>
          <cell r="D146">
            <v>1.8032045985811739E-4</v>
          </cell>
          <cell r="E146">
            <v>4.7454581364537948E-5</v>
          </cell>
          <cell r="F146">
            <v>7.9894547356958334E-2</v>
          </cell>
          <cell r="G146">
            <v>3.5463831243329517E-4</v>
          </cell>
          <cell r="H146">
            <v>2.9325073342919531E-4</v>
          </cell>
          <cell r="I146">
            <v>1.4379590686214365</v>
          </cell>
          <cell r="J146"/>
          <cell r="K146"/>
        </row>
        <row r="147">
          <cell r="A147" t="str">
            <v>ITOT-SWHSTG-ELC</v>
          </cell>
          <cell r="B147" t="str">
            <v>VAR_ncap</v>
          </cell>
          <cell r="C147" t="str">
            <v>-</v>
          </cell>
          <cell r="D147">
            <v>4.3650465961395596E-3</v>
          </cell>
          <cell r="E147">
            <v>0.16119701753166599</v>
          </cell>
          <cell r="F147">
            <v>4.6417223902893201E-5</v>
          </cell>
          <cell r="G147">
            <v>1.0841124815118999E-3</v>
          </cell>
          <cell r="H147">
            <v>0.14825465131401999</v>
          </cell>
          <cell r="I147">
            <v>0.106055865031392</v>
          </cell>
          <cell r="J147"/>
          <cell r="K147"/>
        </row>
        <row r="148">
          <cell r="A148" t="str">
            <v>ITOT-SWHSTG-ELC</v>
          </cell>
          <cell r="B148" t="str">
            <v>VAR_cap</v>
          </cell>
          <cell r="C148" t="str">
            <v>-</v>
          </cell>
          <cell r="D148">
            <v>4.3650465961395596E-3</v>
          </cell>
          <cell r="E148">
            <v>0.16555482073794417</v>
          </cell>
          <cell r="F148">
            <v>0.16559319719470406</v>
          </cell>
          <cell r="G148">
            <v>0.16667607683940069</v>
          </cell>
          <cell r="H148">
            <v>0.24610189038465091</v>
          </cell>
          <cell r="I148">
            <v>0.25471636383680102</v>
          </cell>
          <cell r="J148"/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ELC5</v>
          </cell>
          <cell r="D149">
            <v>0.69804552606025549</v>
          </cell>
          <cell r="E149">
            <v>1.6808545505455441</v>
          </cell>
          <cell r="F149">
            <v>5.4020002437833199</v>
          </cell>
          <cell r="G149">
            <v>5.786199377027609</v>
          </cell>
          <cell r="H149">
            <v>7.7992545527014157</v>
          </cell>
          <cell r="I149">
            <v>12.061746242383755</v>
          </cell>
          <cell r="J149"/>
          <cell r="K149"/>
        </row>
        <row r="150">
          <cell r="A150" t="str">
            <v>D-SCOM_SOLELC</v>
          </cell>
          <cell r="B150" t="str">
            <v>VAR_fout</v>
          </cell>
          <cell r="C150" t="str">
            <v>SCOM_ELC</v>
          </cell>
          <cell r="D150">
            <v>2.1415781597117101</v>
          </cell>
          <cell r="E150">
            <v>1.6136083448433303</v>
          </cell>
          <cell r="F150">
            <v>4.5612938920451089</v>
          </cell>
          <cell r="G150">
            <v>4.9450522214800987</v>
          </cell>
          <cell r="H150">
            <v>6.0990406873561911</v>
          </cell>
          <cell r="I150">
            <v>8.9239686701387662</v>
          </cell>
          <cell r="J150"/>
          <cell r="K150"/>
        </row>
        <row r="151">
          <cell r="A151" t="str">
            <v>D-SCOM_SOLELC</v>
          </cell>
          <cell r="B151" t="str">
            <v>VAR_fin</v>
          </cell>
          <cell r="C151" t="str">
            <v>SCOM_SOL_ELC</v>
          </cell>
          <cell r="D151">
            <v>2.8396236857719668</v>
          </cell>
          <cell r="E151">
            <v>3.2944552202001307</v>
          </cell>
          <cell r="F151">
            <v>9.963294135828427</v>
          </cell>
          <cell r="G151">
            <v>10.731251598507704</v>
          </cell>
          <cell r="H151">
            <v>13.898295240057605</v>
          </cell>
          <cell r="I151">
            <v>20.985714912522518</v>
          </cell>
          <cell r="J151"/>
          <cell r="K151"/>
        </row>
        <row r="152">
          <cell r="A152" t="str">
            <v>D-ILFO</v>
          </cell>
          <cell r="B152" t="str">
            <v>VAR_fout</v>
          </cell>
          <cell r="C152" t="str">
            <v>CO2</v>
          </cell>
          <cell r="D152">
            <v>689.88023414805502</v>
          </cell>
          <cell r="E152">
            <v>659.57730291408404</v>
          </cell>
          <cell r="F152">
            <v>597.94327486664304</v>
          </cell>
          <cell r="G152">
            <v>470.79995173837898</v>
          </cell>
          <cell r="H152">
            <v>179.17851926010499</v>
          </cell>
          <cell r="I152">
            <v>1.14406678394213E-3</v>
          </cell>
          <cell r="J152"/>
          <cell r="K152"/>
        </row>
        <row r="153">
          <cell r="A153" t="str">
            <v>D-ILFO</v>
          </cell>
          <cell r="B153" t="str">
            <v>VAR_fout</v>
          </cell>
          <cell r="C153" t="str">
            <v>ILFO</v>
          </cell>
          <cell r="D153">
            <v>9.2043206276054761</v>
          </cell>
          <cell r="E153">
            <v>8.8000216185489357</v>
          </cell>
          <cell r="F153">
            <v>7.9778369597162406</v>
          </cell>
          <cell r="G153">
            <v>6.4443456259363234</v>
          </cell>
          <cell r="H153">
            <v>2.5535297935151133</v>
          </cell>
          <cell r="I153">
            <v>0.16298105915337227</v>
          </cell>
          <cell r="J153"/>
        </row>
        <row r="154">
          <cell r="A154" t="str">
            <v>D-ILFO</v>
          </cell>
          <cell r="B154" t="str">
            <v>VAR_fin</v>
          </cell>
          <cell r="C154" t="str">
            <v>LFO</v>
          </cell>
          <cell r="D154">
            <v>9.3606544660523099</v>
          </cell>
          <cell r="E154">
            <v>8.9494885062969374</v>
          </cell>
          <cell r="F154">
            <v>8.1132059004971833</v>
          </cell>
          <cell r="G154">
            <v>6.3880590466537166</v>
          </cell>
          <cell r="H154">
            <v>2.4311875069213684</v>
          </cell>
          <cell r="I154">
            <v>1.5523294219024791E-5</v>
          </cell>
          <cell r="J154"/>
        </row>
        <row r="155">
          <cell r="A155" t="str">
            <v>D-ILFO</v>
          </cell>
          <cell r="B155" t="str">
            <v>VAR_fin</v>
          </cell>
          <cell r="C155" t="str">
            <v>BDS</v>
          </cell>
          <cell r="D155"/>
          <cell r="E155"/>
          <cell r="F155">
            <v>1.3327876092408014E-4</v>
          </cell>
          <cell r="G155">
            <v>0.16574270632811991</v>
          </cell>
          <cell r="H155">
            <v>0.16574297825091508</v>
          </cell>
          <cell r="I155">
            <v>0.16574305829872341</v>
          </cell>
          <cell r="J155"/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1.8546052386685233E-2</v>
          </cell>
          <cell r="G156">
            <v>2.7059668755188143E-2</v>
          </cell>
          <cell r="H156">
            <v>1.5549293080806686E-2</v>
          </cell>
          <cell r="I156">
            <v>3.5534476301245198E-2</v>
          </cell>
          <cell r="J156"/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1.8654486474729694E-2</v>
          </cell>
          <cell r="G157">
            <v>2.7165374480794761E-2</v>
          </cell>
          <cell r="H157">
            <v>1.5601506692707807E-2</v>
          </cell>
          <cell r="I157">
            <v>3.5587284963083728E-2</v>
          </cell>
          <cell r="J157"/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3.8320693187057897E-5</v>
          </cell>
          <cell r="E158">
            <v>3.3857898590568001E-5</v>
          </cell>
          <cell r="F158">
            <v>3.55639922024477E-2</v>
          </cell>
          <cell r="G158">
            <v>2.9388223478777599E-2</v>
          </cell>
          <cell r="H158">
            <v>4.86117399399826E-2</v>
          </cell>
          <cell r="I158">
            <v>2.1393358528115001E-2</v>
          </cell>
          <cell r="J158"/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3.8320693187057897E-5</v>
          </cell>
          <cell r="E159">
            <v>9.1956785815490341E-7</v>
          </cell>
          <cell r="F159">
            <v>3.5549705142588685E-2</v>
          </cell>
          <cell r="G159">
            <v>6.4914097257884967E-2</v>
          </cell>
          <cell r="H159">
            <v>8.6959262068365864E-2</v>
          </cell>
          <cell r="I159">
            <v>6.1698527873352373E-2</v>
          </cell>
          <cell r="J159"/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2.6029362067860377E-4</v>
          </cell>
          <cell r="E160">
            <v>7.9572411215316223E-4</v>
          </cell>
          <cell r="F160">
            <v>4.4735272128961618E-4</v>
          </cell>
          <cell r="G160">
            <v>5.9650499517753855E-4</v>
          </cell>
          <cell r="H160">
            <v>6.7073503774959695E-4</v>
          </cell>
          <cell r="I160">
            <v>2.7106136363312676</v>
          </cell>
          <cell r="J160"/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2.6029362067860377E-4</v>
          </cell>
          <cell r="E161">
            <v>7.9572411215316223E-4</v>
          </cell>
          <cell r="F161">
            <v>4.4735272128961618E-4</v>
          </cell>
          <cell r="G161">
            <v>5.9650499517753855E-4</v>
          </cell>
          <cell r="H161">
            <v>6.7073503774959695E-4</v>
          </cell>
          <cell r="I161">
            <v>2.7106136363312676</v>
          </cell>
          <cell r="J161"/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1.92079453063294E-6</v>
          </cell>
          <cell r="E162">
            <v>4.4258348748644E-5</v>
          </cell>
          <cell r="F162">
            <v>4.8198511153438302E-7</v>
          </cell>
          <cell r="G162">
            <v>1.91644260725393E-6</v>
          </cell>
          <cell r="H162">
            <v>4.5126121492714198E-7</v>
          </cell>
          <cell r="I162">
            <v>0.19137507457745201</v>
          </cell>
          <cell r="J162"/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1.92079453063294E-6</v>
          </cell>
          <cell r="E163">
            <v>4.6113676088790377E-5</v>
          </cell>
          <cell r="F163">
            <v>4.6310190255351677E-5</v>
          </cell>
          <cell r="G163">
            <v>4.8210860452958472E-5</v>
          </cell>
          <cell r="H163">
            <v>4.925502810005874E-5</v>
          </cell>
          <cell r="I163">
            <v>0.19140483377772624</v>
          </cell>
          <cell r="J163"/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3.8999878543333985E-3</v>
          </cell>
          <cell r="G164">
            <v>1.5323440510421858E-2</v>
          </cell>
          <cell r="H164">
            <v>0.20515506843037143</v>
          </cell>
          <cell r="I164">
            <v>0.21418813795997574</v>
          </cell>
          <cell r="J164"/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3.8999878543333985E-3</v>
          </cell>
          <cell r="G165">
            <v>1.5323440510421858E-2</v>
          </cell>
          <cell r="H165">
            <v>0.20515506843037143</v>
          </cell>
          <cell r="I165">
            <v>0.21418813795997574</v>
          </cell>
          <cell r="J165"/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1.3234863914152301E-7</v>
          </cell>
          <cell r="F166">
            <v>2.9405717737781401E-4</v>
          </cell>
          <cell r="G166">
            <v>8.86429188629152E-4</v>
          </cell>
          <cell r="H166">
            <v>1.4420343227962E-2</v>
          </cell>
          <cell r="I166">
            <v>7.0090915399780701E-4</v>
          </cell>
          <cell r="J166"/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1.3234863914152301E-7</v>
          </cell>
          <cell r="F167">
            <v>2.9410431552991708E-4</v>
          </cell>
          <cell r="G167">
            <v>1.1805091892815405E-3</v>
          </cell>
          <cell r="H167">
            <v>1.5893649867504536E-2</v>
          </cell>
          <cell r="I167">
            <v>1.6594760340669409E-2</v>
          </cell>
          <cell r="J167"/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2.5493671684719796E-4</v>
          </cell>
          <cell r="E168">
            <v>6.8191490198110487E-4</v>
          </cell>
          <cell r="F168">
            <v>3.9018524421874584E-4</v>
          </cell>
          <cell r="G168">
            <v>5.0312093751476907E-4</v>
          </cell>
          <cell r="H168">
            <v>5.7165410710430513E-4</v>
          </cell>
          <cell r="I168">
            <v>1.8937218099249805E-3</v>
          </cell>
          <cell r="J168"/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2.5493671684719796E-4</v>
          </cell>
          <cell r="E169">
            <v>6.8191490198110487E-4</v>
          </cell>
          <cell r="F169">
            <v>3.9018524421874584E-4</v>
          </cell>
          <cell r="G169">
            <v>5.0312093751476907E-4</v>
          </cell>
          <cell r="H169">
            <v>5.7165410710430513E-4</v>
          </cell>
          <cell r="I169">
            <v>1.8937218099249805E-3</v>
          </cell>
          <cell r="J169"/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1.39513735993507E-6</v>
          </cell>
          <cell r="E170">
            <v>3.6402291196928402E-5</v>
          </cell>
          <cell r="F170">
            <v>5.3790822908116795E-7</v>
          </cell>
          <cell r="G170">
            <v>2.2142663497035201E-6</v>
          </cell>
          <cell r="H170">
            <v>4.2186633939756001E-7</v>
          </cell>
          <cell r="I170">
            <v>1.05927647177128E-4</v>
          </cell>
          <cell r="J170"/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1.39513735993507E-6</v>
          </cell>
          <cell r="E171">
            <v>3.7733941780460074E-5</v>
          </cell>
          <cell r="F171">
            <v>3.8016518556319266E-5</v>
          </cell>
          <cell r="G171">
            <v>4.0204446695436279E-5</v>
          </cell>
          <cell r="H171">
            <v>4.1173130757614731E-5</v>
          </cell>
          <cell r="I171">
            <v>1.3116045841731305E-4</v>
          </cell>
          <cell r="J171"/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28.619778783708703</v>
          </cell>
          <cell r="E172">
            <v>23.917169406183667</v>
          </cell>
          <cell r="F172">
            <v>30.204126320019078</v>
          </cell>
          <cell r="G172">
            <v>21.732405739767835</v>
          </cell>
          <cell r="H172">
            <v>7.7229005719831232</v>
          </cell>
          <cell r="I172">
            <v>3.1985335638401677</v>
          </cell>
          <cell r="J172"/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2005.15384353271</v>
          </cell>
          <cell r="E173">
            <v>1674.2150134231999</v>
          </cell>
          <cell r="F173">
            <v>2111.5355221101699</v>
          </cell>
          <cell r="G173">
            <v>1515.97722452577</v>
          </cell>
          <cell r="H173">
            <v>536.385473092398</v>
          </cell>
          <cell r="I173">
            <v>221.19094429551899</v>
          </cell>
          <cell r="J173"/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35.552373112282019</v>
          </cell>
          <cell r="E174">
            <v>29.68466335856743</v>
          </cell>
          <cell r="F174">
            <v>37.438573087059773</v>
          </cell>
          <cell r="G174">
            <v>26.879028803648342</v>
          </cell>
          <cell r="H174">
            <v>9.5103807285886166</v>
          </cell>
          <cell r="I174">
            <v>3.9218252534666518</v>
          </cell>
          <cell r="J174"/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1.2180965599295399E-4</v>
          </cell>
          <cell r="F175">
            <v>9.9508160979949398E-2</v>
          </cell>
          <cell r="G175">
            <v>0.57742472612882101</v>
          </cell>
          <cell r="H175">
            <v>0.17098714433481599</v>
          </cell>
          <cell r="I175">
            <v>0.33095019885016402</v>
          </cell>
          <cell r="J175"/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1.5566913139232266</v>
          </cell>
          <cell r="F176">
            <v>1.6561884411367316</v>
          </cell>
          <cell r="G176">
            <v>1.4221010131821017</v>
          </cell>
          <cell r="H176">
            <v>0.60301804477646959</v>
          </cell>
          <cell r="I176">
            <v>0.338053388108705</v>
          </cell>
          <cell r="J176"/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2.1560065385688717E-2</v>
          </cell>
          <cell r="F177">
            <v>6.9504893457375091E-5</v>
          </cell>
          <cell r="G177">
            <v>2.575583562752424E-4</v>
          </cell>
          <cell r="H177">
            <v>3.6106143489766067E-4</v>
          </cell>
          <cell r="I177">
            <v>5.6280011789756044E-4</v>
          </cell>
          <cell r="J177"/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2.1560065385688717E-2</v>
          </cell>
          <cell r="F178">
            <v>6.9504893457375091E-5</v>
          </cell>
          <cell r="G178">
            <v>2.575583562752424E-4</v>
          </cell>
          <cell r="H178">
            <v>3.6106143489766067E-4</v>
          </cell>
          <cell r="I178">
            <v>5.6280011789756044E-4</v>
          </cell>
          <cell r="J178"/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3.1953882354024401E-3</v>
          </cell>
          <cell r="F179">
            <v>5.2436636789765697E-5</v>
          </cell>
          <cell r="G179">
            <v>2.9568904473048099E-5</v>
          </cell>
          <cell r="H179">
            <v>2.9747603019385297E-4</v>
          </cell>
          <cell r="I179">
            <v>6.2887982863019606E-5</v>
          </cell>
          <cell r="J179"/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3.1953882354024401E-3</v>
          </cell>
          <cell r="F180">
            <v>2.7084228081392468E-3</v>
          </cell>
          <cell r="G180">
            <v>2.6847104484756809E-3</v>
          </cell>
          <cell r="H180">
            <v>4.2068155804785045E-4</v>
          </cell>
          <cell r="I180">
            <v>3.1836280190887382E-4</v>
          </cell>
          <cell r="J180"/>
          <cell r="K180"/>
          <cell r="L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1.4011400911129606</v>
          </cell>
          <cell r="E181">
            <v>1.6078064535110586</v>
          </cell>
          <cell r="F181">
            <v>0.16363836486591035</v>
          </cell>
          <cell r="G181">
            <v>0.14036014364145699</v>
          </cell>
          <cell r="H181">
            <v>8.0840234697174856E-2</v>
          </cell>
          <cell r="I181">
            <v>2.9192035669681447E-2</v>
          </cell>
          <cell r="J181"/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1.4011400911129606</v>
          </cell>
          <cell r="E182">
            <v>1.6078064535110586</v>
          </cell>
          <cell r="F182">
            <v>0.16363836486591035</v>
          </cell>
          <cell r="G182">
            <v>0.14036014364145699</v>
          </cell>
          <cell r="H182">
            <v>8.0840234697174856E-2</v>
          </cell>
          <cell r="I182">
            <v>2.9192035669681447E-2</v>
          </cell>
          <cell r="J182"/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1.556822323458843</v>
          </cell>
          <cell r="E183">
            <v>1.7864516150122873</v>
          </cell>
          <cell r="F183">
            <v>0.22551177882077078</v>
          </cell>
          <cell r="G183">
            <v>0.19343181346294369</v>
          </cell>
          <cell r="H183">
            <v>0.11140679107730635</v>
          </cell>
          <cell r="I183">
            <v>3.9208717326393437E-2</v>
          </cell>
          <cell r="J183"/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9.6736401064068007E-6</v>
          </cell>
          <cell r="E184">
            <v>1.47177740467535E-2</v>
          </cell>
          <cell r="F184">
            <v>2.3169614713682601E-7</v>
          </cell>
          <cell r="G184">
            <v>9.2074575803129596E-7</v>
          </cell>
          <cell r="H184">
            <v>2.5970164890305402E-3</v>
          </cell>
          <cell r="I184">
            <v>1.7670164733377501E-7</v>
          </cell>
          <cell r="J184"/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9.9708729760386999E-2</v>
          </cell>
          <cell r="E185">
            <v>0.11442636576999649</v>
          </cell>
          <cell r="F185">
            <v>1.4594857940928907E-2</v>
          </cell>
          <cell r="G185">
            <v>1.4218971697924701E-2</v>
          </cell>
          <cell r="H185">
            <v>5.7370769787178011E-3</v>
          </cell>
          <cell r="I185">
            <v>3.1549866159296049E-3</v>
          </cell>
          <cell r="J185"/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>
            <v>2.467546119305799E-4</v>
          </cell>
          <cell r="E186">
            <v>4.5315819047735893E-4</v>
          </cell>
          <cell r="F186">
            <v>2.7848283961343307E-4</v>
          </cell>
          <cell r="G186">
            <v>3.2799315005600365E-4</v>
          </cell>
          <cell r="H186">
            <v>3.8280715509225418E-4</v>
          </cell>
          <cell r="I186">
            <v>4.6882185507835796E-4</v>
          </cell>
          <cell r="J186"/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>
            <v>2.467546119305799E-4</v>
          </cell>
          <cell r="E187">
            <v>4.5315819047735893E-4</v>
          </cell>
          <cell r="F187">
            <v>2.7848283961343307E-4</v>
          </cell>
          <cell r="G187">
            <v>3.2799315005600365E-4</v>
          </cell>
          <cell r="H187">
            <v>3.8280715509225418E-4</v>
          </cell>
          <cell r="I187">
            <v>4.6882185507835796E-4</v>
          </cell>
          <cell r="J187"/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>
            <v>6.9899530263053398E-7</v>
          </cell>
          <cell r="E188">
            <v>2.0149262139529301E-5</v>
          </cell>
          <cell r="F188">
            <v>8.0989589700481603E-7</v>
          </cell>
          <cell r="G188">
            <v>2.9256410924516701E-6</v>
          </cell>
          <cell r="H188">
            <v>3.37943375054665E-7</v>
          </cell>
          <cell r="I188">
            <v>1.2458100757362501E-5</v>
          </cell>
          <cell r="J188"/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>
            <v>6.9899530263053398E-7</v>
          </cell>
          <cell r="E189">
            <v>2.0790394523487043E-5</v>
          </cell>
          <cell r="F189">
            <v>2.1407187480316055E-5</v>
          </cell>
          <cell r="G189">
            <v>2.429411445268223E-5</v>
          </cell>
          <cell r="H189">
            <v>2.5069316300928171E-5</v>
          </cell>
          <cell r="I189">
            <v>2.8708000555236589E-5</v>
          </cell>
          <cell r="J189"/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>
            <v>2.4326734816760957E-4</v>
          </cell>
          <cell r="E190">
            <v>2.6840608472482785E-4</v>
          </cell>
          <cell r="F190">
            <v>1.9420395110706653E-4</v>
          </cell>
          <cell r="G190">
            <v>2.0432913432417849E-4</v>
          </cell>
          <cell r="H190">
            <v>2.435584248682109E-4</v>
          </cell>
          <cell r="I190">
            <v>2.1827613542986884E-4</v>
          </cell>
          <cell r="J190"/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>
            <v>2.4326734816760957E-4</v>
          </cell>
          <cell r="E191">
            <v>2.6840608472482785E-4</v>
          </cell>
          <cell r="F191">
            <v>1.9420395110706653E-4</v>
          </cell>
          <cell r="G191">
            <v>2.0432913432417849E-4</v>
          </cell>
          <cell r="H191">
            <v>2.435584248682109E-4</v>
          </cell>
          <cell r="I191">
            <v>2.1827613542986884E-4</v>
          </cell>
          <cell r="J191"/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>
            <v>4.2071932015331502E-7</v>
          </cell>
          <cell r="E192">
            <v>6.8467959045354601E-6</v>
          </cell>
          <cell r="F192">
            <v>1.21705684909654E-6</v>
          </cell>
          <cell r="G192">
            <v>3.55723914846546E-6</v>
          </cell>
          <cell r="H192">
            <v>2.0619357344145E-7</v>
          </cell>
          <cell r="I192">
            <v>6.4849976417003795E-7</v>
          </cell>
          <cell r="J192"/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>
            <v>4.2071932015331502E-7</v>
          </cell>
          <cell r="E193">
            <v>7.2164223256261162E-6</v>
          </cell>
          <cell r="F193">
            <v>8.2939732539424885E-6</v>
          </cell>
          <cell r="G193">
            <v>1.1810420692193894E-5</v>
          </cell>
          <cell r="H193">
            <v>1.222738142996787E-5</v>
          </cell>
          <cell r="I193">
            <v>9.6899448375220688E-6</v>
          </cell>
          <cell r="J193"/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>
            <v>2.3971545024152277E-4</v>
          </cell>
          <cell r="E194">
            <v>1.7014535829867168E-4</v>
          </cell>
          <cell r="F194">
            <v>1.4255880783302773E-4</v>
          </cell>
          <cell r="G194">
            <v>1.0237641350113933E-4</v>
          </cell>
          <cell r="H194">
            <v>1.2195093947119075E-4</v>
          </cell>
          <cell r="I194">
            <v>9.7139829023920035E-5</v>
          </cell>
          <cell r="J194"/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>
            <v>2.3971545024152277E-4</v>
          </cell>
          <cell r="E195">
            <v>1.7014535829867168E-4</v>
          </cell>
          <cell r="F195">
            <v>1.4255880783302773E-4</v>
          </cell>
          <cell r="G195">
            <v>1.0237641350113933E-4</v>
          </cell>
          <cell r="H195">
            <v>1.2195093947119075E-4</v>
          </cell>
          <cell r="I195">
            <v>9.7139829023920035E-5</v>
          </cell>
          <cell r="J195"/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>
            <v>4.6295186576830699E-8</v>
          </cell>
          <cell r="E196">
            <v>2.04253652824364E-8</v>
          </cell>
          <cell r="F196">
            <v>6.9692074445846502E-8</v>
          </cell>
          <cell r="G196">
            <v>6.102788730675E-8</v>
          </cell>
          <cell r="H196">
            <v>4.0214263225380101E-8</v>
          </cell>
          <cell r="I196">
            <v>5.9135176571462203E-8</v>
          </cell>
          <cell r="J196"/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>
            <v>4.6295186576830699E-8</v>
          </cell>
          <cell r="E197">
            <v>2.1993801532780903E-8</v>
          </cell>
          <cell r="F197">
            <v>-1.0496111691712988E-8</v>
          </cell>
          <cell r="G197">
            <v>3.7906550485648993E-8</v>
          </cell>
          <cell r="H197">
            <v>1.6018244013866025E-8</v>
          </cell>
          <cell r="I197">
            <v>1.5349519486238402E-7</v>
          </cell>
          <cell r="J197"/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9.1578627303999856</v>
          </cell>
          <cell r="E198">
            <v>10.275951580050901</v>
          </cell>
          <cell r="F198">
            <v>20.738023019719343</v>
          </cell>
          <cell r="G198">
            <v>27.608130804104935</v>
          </cell>
          <cell r="H198">
            <v>31.918702304470749</v>
          </cell>
          <cell r="I198">
            <v>28.435234837372573</v>
          </cell>
          <cell r="J198"/>
          <cell r="K198"/>
          <cell r="L198"/>
          <cell r="M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2.8618321032499963</v>
          </cell>
          <cell r="E199">
            <v>3.1585916741959754</v>
          </cell>
          <cell r="F199">
            <v>7.1592870132580995</v>
          </cell>
          <cell r="G199">
            <v>8.5733846353156657</v>
          </cell>
          <cell r="H199">
            <v>8.8144363776424264</v>
          </cell>
          <cell r="I199">
            <v>7.0141547192521179</v>
          </cell>
          <cell r="J199"/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9.1578627303999856</v>
          </cell>
          <cell r="E200">
            <v>10.275951580050901</v>
          </cell>
          <cell r="F200">
            <v>20.738023019719343</v>
          </cell>
          <cell r="G200">
            <v>27.608130804104935</v>
          </cell>
          <cell r="H200">
            <v>31.918702304470749</v>
          </cell>
          <cell r="I200">
            <v>28.435234837372573</v>
          </cell>
          <cell r="J200"/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2.3516063920294601E-7</v>
          </cell>
          <cell r="E201">
            <v>9.0328443301886496E-2</v>
          </cell>
          <cell r="F201">
            <v>0.84525980015733504</v>
          </cell>
          <cell r="G201">
            <v>0.555003750809685</v>
          </cell>
          <cell r="H201">
            <v>1.29410782424016</v>
          </cell>
          <cell r="I201">
            <v>1.0383670327489301</v>
          </cell>
          <cell r="J201"/>
          <cell r="K201"/>
          <cell r="M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0.73983816308600414</v>
          </cell>
          <cell r="E202">
            <v>0.8301664560854447</v>
          </cell>
          <cell r="F202">
            <v>1.6754254178115104</v>
          </cell>
          <cell r="G202">
            <v>2.2304289571923452</v>
          </cell>
          <cell r="H202">
            <v>2.578667244277824</v>
          </cell>
          <cell r="I202">
            <v>2.2972376504799614</v>
          </cell>
          <cell r="J202"/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3.2399557463126971</v>
          </cell>
          <cell r="E203">
            <v>3.6355020116956793</v>
          </cell>
          <cell r="F203">
            <v>5.2553141537902537</v>
          </cell>
          <cell r="G203">
            <v>8.9573121621380167</v>
          </cell>
          <cell r="H203">
            <v>14.639876271135714</v>
          </cell>
          <cell r="I203">
            <v>16.52769220467626</v>
          </cell>
          <cell r="J203"/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1.1489204774158499</v>
          </cell>
          <cell r="E204">
            <v>1.2864479871534611</v>
          </cell>
          <cell r="F204">
            <v>2.7774679453029241</v>
          </cell>
          <cell r="G204">
            <v>4.1643093115592533</v>
          </cell>
          <cell r="H204">
            <v>5.923492124378968</v>
          </cell>
          <cell r="I204">
            <v>5.9234351839591239</v>
          </cell>
          <cell r="J204"/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3.09633284462138E-6</v>
          </cell>
          <cell r="E205">
            <v>3.2788183211379898E-2</v>
          </cell>
          <cell r="F205">
            <v>0.10186931620169901</v>
          </cell>
          <cell r="G205">
            <v>0.264250038478899</v>
          </cell>
          <cell r="H205">
            <v>0.45088459581726698</v>
          </cell>
          <cell r="I205">
            <v>0.64314963806622005</v>
          </cell>
          <cell r="J205"/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0.21335575875208562</v>
          </cell>
          <cell r="E206">
            <v>0.24614346874941384</v>
          </cell>
          <cell r="F206">
            <v>0.34801202654012103</v>
          </cell>
          <cell r="G206">
            <v>0.61226169681155673</v>
          </cell>
          <cell r="H206">
            <v>1.000657133752157</v>
          </cell>
          <cell r="I206">
            <v>1.1189486433415885</v>
          </cell>
          <cell r="J206"/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5.6086621769879255</v>
          </cell>
          <cell r="E207">
            <v>6.0095304765471971</v>
          </cell>
          <cell r="F207">
            <v>6.0959416022431236</v>
          </cell>
          <cell r="G207">
            <v>8.4079099772913874</v>
          </cell>
          <cell r="H207">
            <v>9.0431902201467729</v>
          </cell>
          <cell r="I207">
            <v>12.170067586685111</v>
          </cell>
          <cell r="J207"/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1.9238831536716499E-4</v>
          </cell>
          <cell r="F208">
            <v>2.4641772309884576E-3</v>
          </cell>
          <cell r="G208">
            <v>1.0450027426675725E-2</v>
          </cell>
          <cell r="H208">
            <v>3.3173907650807505E-4</v>
          </cell>
          <cell r="I208">
            <v>4.5383096881039815E-2</v>
          </cell>
          <cell r="J208"/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5.6086621769879255</v>
          </cell>
          <cell r="E209">
            <v>6.0097228648625647</v>
          </cell>
          <cell r="F209">
            <v>6.0984057794741107</v>
          </cell>
          <cell r="G209">
            <v>8.4183600047180658</v>
          </cell>
          <cell r="H209">
            <v>9.0435219592232876</v>
          </cell>
          <cell r="I209">
            <v>12.215450683566152</v>
          </cell>
          <cell r="J209"/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>
            <v>2.4429463979352127E-4</v>
          </cell>
          <cell r="E210">
            <v>1.6956514978218508E-4</v>
          </cell>
          <cell r="F210">
            <v>1.4554014797804984E-4</v>
          </cell>
          <cell r="G210">
            <v>1.0277396979558169E-4</v>
          </cell>
          <cell r="H210">
            <v>1.2141216227699715E-4</v>
          </cell>
          <cell r="I210">
            <v>9.4678097274487311E-5</v>
          </cell>
          <cell r="J210"/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>
            <v>2.4429463979352127E-4</v>
          </cell>
          <cell r="E211">
            <v>1.6956514978218508E-4</v>
          </cell>
          <cell r="F211">
            <v>1.4554014797804984E-4</v>
          </cell>
          <cell r="G211">
            <v>1.0277396979558169E-4</v>
          </cell>
          <cell r="H211">
            <v>1.2141216227699715E-4</v>
          </cell>
          <cell r="I211">
            <v>9.4678097274487311E-5</v>
          </cell>
          <cell r="J211"/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>
            <v>1.1416931946734899E-8</v>
          </cell>
          <cell r="G212"/>
          <cell r="H212"/>
          <cell r="I212">
            <v>1.43060989433891E-8</v>
          </cell>
          <cell r="J212"/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-4.5335557286921602E-8</v>
          </cell>
          <cell r="F213">
            <v>-1.4575297170164109E-7</v>
          </cell>
          <cell r="G213">
            <v>-1.516573543711731E-7</v>
          </cell>
          <cell r="H213">
            <v>-2.610620118675713E-7</v>
          </cell>
          <cell r="I213">
            <v>-1.056408417840477E-7</v>
          </cell>
          <cell r="J213"/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4.2613157447454233</v>
          </cell>
          <cell r="E214">
            <v>4.6176939335615232</v>
          </cell>
          <cell r="F214">
            <v>6.3149560739581245</v>
          </cell>
          <cell r="G214">
            <v>14.08319319185528</v>
          </cell>
          <cell r="H214">
            <v>24.740559688530791</v>
          </cell>
          <cell r="I214">
            <v>24.322809648630567</v>
          </cell>
          <cell r="J214"/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4.2613157447454233</v>
          </cell>
          <cell r="E215">
            <v>4.6176939335615232</v>
          </cell>
          <cell r="F215">
            <v>6.3149560739581245</v>
          </cell>
          <cell r="G215">
            <v>14.08319319185528</v>
          </cell>
          <cell r="H215">
            <v>24.740559688530791</v>
          </cell>
          <cell r="I215">
            <v>24.322809648630567</v>
          </cell>
          <cell r="J215"/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1.3316611702329448</v>
          </cell>
          <cell r="E216">
            <v>1.4252141770251627</v>
          </cell>
          <cell r="F216">
            <v>2.1797917083524938</v>
          </cell>
          <cell r="G216">
            <v>4.3016091407014319</v>
          </cell>
          <cell r="H216">
            <v>6.8205633973561861</v>
          </cell>
          <cell r="I216">
            <v>6.2762931996294036</v>
          </cell>
          <cell r="J216"/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5.0342964897125901E-7</v>
          </cell>
          <cell r="E217">
            <v>1.0738390496734701E-6</v>
          </cell>
          <cell r="F217">
            <v>5.76309386061363E-2</v>
          </cell>
          <cell r="G217">
            <v>0.60107458784894896</v>
          </cell>
          <cell r="H217">
            <v>0.84523170098322697</v>
          </cell>
          <cell r="I217">
            <v>1.0136574828993301</v>
          </cell>
          <cell r="J217"/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0.43061781688343698</v>
          </cell>
          <cell r="E218">
            <v>0.43061662748086593</v>
          </cell>
          <cell r="F218">
            <v>0.48824810134685265</v>
          </cell>
          <cell r="G218">
            <v>1.0893222594961729</v>
          </cell>
          <cell r="H218">
            <v>1.9302861087268219</v>
          </cell>
          <cell r="I218">
            <v>1.908074706958742</v>
          </cell>
          <cell r="J218"/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6.5382219445862103E-2</v>
          </cell>
          <cell r="E219">
            <v>0.16720860962728512</v>
          </cell>
          <cell r="F219">
            <v>3.3905082091117262E-3</v>
          </cell>
          <cell r="G219">
            <v>0.13765769242791867</v>
          </cell>
          <cell r="H219">
            <v>2.9410403528044209E-4</v>
          </cell>
          <cell r="I219">
            <v>7.2158750549366035E-5</v>
          </cell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5.1379143438478256E-3</v>
          </cell>
          <cell r="E220">
            <v>4.1099942343594187E-3</v>
          </cell>
          <cell r="F220">
            <v>1.2549866794516378E-3</v>
          </cell>
          <cell r="G220">
            <v>2.7934060398394295E-3</v>
          </cell>
          <cell r="H220">
            <v>3.2188534403265815E-4</v>
          </cell>
          <cell r="I220">
            <v>7.6498866685510453E-5</v>
          </cell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7.0520133789709963E-2</v>
          </cell>
          <cell r="E221">
            <v>0.17131860386164463</v>
          </cell>
          <cell r="F221">
            <v>4.6091259942489509E-3</v>
          </cell>
          <cell r="G221">
            <v>0.14042216374001643</v>
          </cell>
          <cell r="H221">
            <v>5.737172037489196E-4</v>
          </cell>
          <cell r="I221">
            <v>1.2461182953064172E-4</v>
          </cell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3.2785296741780998</v>
          </cell>
          <cell r="H222"/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7.9831504248730312</v>
          </cell>
          <cell r="H223">
            <v>4.3690599867030073</v>
          </cell>
          <cell r="I223">
            <v>1.9630166241439611</v>
          </cell>
          <cell r="J223"/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6.9076314715134313E-2</v>
          </cell>
          <cell r="F224">
            <v>7.1763892093215974E-3</v>
          </cell>
          <cell r="G224">
            <v>9.8059076479580041E-3</v>
          </cell>
          <cell r="H224">
            <v>9.0382219778486032E-3</v>
          </cell>
          <cell r="I224">
            <v>5.3247591953128346E-3</v>
          </cell>
          <cell r="J224"/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7.2711910226457163E-2</v>
          </cell>
          <cell r="F225">
            <v>7.5540939045490507E-3</v>
          </cell>
          <cell r="G225">
            <v>1.032200805048211E-2</v>
          </cell>
          <cell r="H225">
            <v>9.5139178714195704E-3</v>
          </cell>
          <cell r="I225">
            <v>5.6050096792766586E-3</v>
          </cell>
          <cell r="J225"/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5.3109761127906503E-3</v>
          </cell>
          <cell r="F226"/>
          <cell r="G226"/>
          <cell r="H226"/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5.3109761127906503E-3</v>
          </cell>
          <cell r="F227">
            <v>5.3051547763050206E-3</v>
          </cell>
          <cell r="G227">
            <v>5.2924390643338485E-3</v>
          </cell>
          <cell r="H227">
            <v>2.0144252066978553E-3</v>
          </cell>
          <cell r="I227">
            <v>8.5154135933957972E-4</v>
          </cell>
          <cell r="J227"/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3.27852967417819</v>
          </cell>
          <cell r="H228"/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7.983150424872008</v>
          </cell>
          <cell r="H229">
            <v>4.3690599867030073</v>
          </cell>
          <cell r="I229">
            <v>1.9630166241439611</v>
          </cell>
          <cell r="J229"/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5.8780041121604448E-4</v>
          </cell>
          <cell r="E230">
            <v>5.4896370933200846E-4</v>
          </cell>
          <cell r="F230">
            <v>1.4264886262787919E-3</v>
          </cell>
          <cell r="G230">
            <v>3.633382982621397E-4</v>
          </cell>
          <cell r="H230">
            <v>3.229776371251576E-4</v>
          </cell>
          <cell r="I230">
            <v>0.18946233313753788</v>
          </cell>
          <cell r="J230"/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5.1689874630074886E-4</v>
          </cell>
          <cell r="E231">
            <v>5.3172815914435164E-4</v>
          </cell>
          <cell r="F231">
            <v>1.6299887382318931E-3</v>
          </cell>
          <cell r="G231">
            <v>2.4932346058245534E-4</v>
          </cell>
          <cell r="H231">
            <v>2.4292335679511725E-4</v>
          </cell>
          <cell r="I231">
            <v>0.21035515704779176</v>
          </cell>
          <cell r="J231"/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3.2766491447077699E-5</v>
          </cell>
          <cell r="E232">
            <v>7.7425096172868305E-8</v>
          </cell>
          <cell r="F232">
            <v>1.07139512810158E-4</v>
          </cell>
          <cell r="G232">
            <v>1.84424198003902E-2</v>
          </cell>
          <cell r="H232">
            <v>5.8575724474228097E-2</v>
          </cell>
          <cell r="I232">
            <v>1.01163473116768E-6</v>
          </cell>
          <cell r="J232"/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3.2766491447077699E-5</v>
          </cell>
          <cell r="E233">
            <v>3.2843916543250499E-5</v>
          </cell>
          <cell r="F233">
            <v>1.3998342935340899E-4</v>
          </cell>
          <cell r="G233">
            <v>1.8582403229743701E-2</v>
          </cell>
          <cell r="H233">
            <v>8.7851382210247103E-2</v>
          </cell>
          <cell r="I233">
            <v>4.9558791250837203E-2</v>
          </cell>
          <cell r="J233"/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3.160816778570974E-2</v>
          </cell>
          <cell r="E234">
            <v>3.017498485675436E-3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3.160816778570974E-2</v>
          </cell>
          <cell r="E235">
            <v>3.017498485675436E-3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3.1927442207787621E-2</v>
          </cell>
          <cell r="E236">
            <v>3.0479782683590292E-3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2.3244595330312799E-4</v>
          </cell>
          <cell r="F237">
            <v>6.0594199583212003E-4</v>
          </cell>
          <cell r="G237">
            <v>5.1681198130515795E-4</v>
          </cell>
          <cell r="H237">
            <v>2.13385007444207E-4</v>
          </cell>
          <cell r="I237">
            <v>2.3067498641960599E-5</v>
          </cell>
          <cell r="J237"/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4.1012222823662813E-4</v>
          </cell>
          <cell r="F238">
            <v>8.4844222212915755E-4</v>
          </cell>
          <cell r="G238">
            <v>9.2481198630571006E-4</v>
          </cell>
          <cell r="H238">
            <v>4.1521078651345403E-4</v>
          </cell>
          <cell r="I238">
            <v>5.6741987469894988E-5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2.7214450263419673E-7</v>
          </cell>
          <cell r="E239">
            <v>3.4677428201717475E-6</v>
          </cell>
          <cell r="F239">
            <v>0.74373259429805372</v>
          </cell>
          <cell r="G239">
            <v>0.6097599581053692</v>
          </cell>
          <cell r="H239">
            <v>0.36061112074160578</v>
          </cell>
          <cell r="I239">
            <v>0.26015729027126927</v>
          </cell>
          <cell r="J239"/>
          <cell r="K239"/>
        </row>
        <row r="240">
          <cell r="A240" t="str">
            <v>RHSA-WHSTG-ELC</v>
          </cell>
          <cell r="B240" t="str">
            <v>VAR_fin</v>
          </cell>
          <cell r="C240" t="str">
            <v>RHSA-WHAELCB</v>
          </cell>
          <cell r="D240">
            <v>5.3396182818920411E-5</v>
          </cell>
          <cell r="E240">
            <v>7.8195604649514139E-6</v>
          </cell>
          <cell r="F240">
            <v>0.74374793022436225</v>
          </cell>
          <cell r="G240">
            <v>0.60977419335009397</v>
          </cell>
          <cell r="H240">
            <v>0.36062717931368843</v>
          </cell>
          <cell r="I240">
            <v>0.26016631566709303</v>
          </cell>
          <cell r="J240"/>
          <cell r="K240"/>
        </row>
        <row r="241">
          <cell r="A241" t="str">
            <v>RHSA-WHSTG-ELC</v>
          </cell>
          <cell r="B241" t="str">
            <v>VAR_ncap</v>
          </cell>
          <cell r="C241" t="str">
            <v>-</v>
          </cell>
          <cell r="D241">
            <v>2.1967595217970801E-2</v>
          </cell>
          <cell r="E241">
            <v>8.9298857113832605E-2</v>
          </cell>
          <cell r="F241">
            <v>2.2385213327368601E-5</v>
          </cell>
          <cell r="G241">
            <v>4.6982333656732199E-5</v>
          </cell>
          <cell r="H241">
            <v>4.2104322336542599E-2</v>
          </cell>
          <cell r="I241">
            <v>4.4333730244355898E-3</v>
          </cell>
          <cell r="J241"/>
        </row>
        <row r="242">
          <cell r="A242" t="str">
            <v>RHSA-WHSTG-ELC</v>
          </cell>
          <cell r="B242" t="str">
            <v>VAR_cap</v>
          </cell>
          <cell r="C242" t="str">
            <v>-</v>
          </cell>
          <cell r="D242">
            <v>2.1968504586859523E-2</v>
          </cell>
          <cell r="E242">
            <v>0.11121847648754465</v>
          </cell>
          <cell r="F242">
            <v>7.7337565362379512E-2</v>
          </cell>
          <cell r="G242">
            <v>5.6563812939056525E-2</v>
          </cell>
          <cell r="H242">
            <v>4.3074898237058977E-2</v>
          </cell>
          <cell r="I242">
            <v>3.5322381607125329E-2</v>
          </cell>
          <cell r="J242"/>
          <cell r="K242"/>
        </row>
        <row r="243">
          <cell r="A243" t="str">
            <v>ITOT-SWHLFOBR</v>
          </cell>
          <cell r="B243" t="str">
            <v>VAR_fout</v>
          </cell>
          <cell r="C243" t="str">
            <v>ITOT-SWH</v>
          </cell>
          <cell r="D243">
            <v>6.9177641519367192</v>
          </cell>
          <cell r="E243">
            <v>6.3117824523768373</v>
          </cell>
          <cell r="F243">
            <v>6.2112846985234782</v>
          </cell>
          <cell r="G243">
            <v>4.6329601972967112</v>
          </cell>
          <cell r="H243">
            <v>2.0156657298517171</v>
          </cell>
          <cell r="I243">
            <v>0.12941858330574157</v>
          </cell>
          <cell r="J243"/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CO2_I</v>
          </cell>
          <cell r="D244">
            <v>655.77369861914599</v>
          </cell>
          <cell r="E244">
            <v>597.36289686796795</v>
          </cell>
          <cell r="F244">
            <v>586.43077279050203</v>
          </cell>
          <cell r="G244">
            <v>435.66031867765003</v>
          </cell>
          <cell r="H244">
            <v>188.03431096782899</v>
          </cell>
          <cell r="I244">
            <v>11.9776579491957</v>
          </cell>
          <cell r="J244"/>
          <cell r="K244"/>
        </row>
        <row r="245">
          <cell r="A245" t="str">
            <v>ITOT-SWHLFOBR</v>
          </cell>
          <cell r="B245" t="str">
            <v>VAR_fin</v>
          </cell>
          <cell r="C245" t="str">
            <v>ILFO</v>
          </cell>
          <cell r="D245">
            <v>8.8978792214266686</v>
          </cell>
          <cell r="E245">
            <v>8.1053310294161172</v>
          </cell>
          <cell r="F245">
            <v>7.9569982739552536</v>
          </cell>
          <cell r="G245">
            <v>5.9112661964402964</v>
          </cell>
          <cell r="H245">
            <v>2.551347502955617</v>
          </cell>
          <cell r="I245">
            <v>0.162519103788272</v>
          </cell>
          <cell r="J245"/>
        </row>
        <row r="246">
          <cell r="A246" t="str">
            <v>ITOT-SWHLFOBR</v>
          </cell>
          <cell r="B246" t="str">
            <v>VAR_ncap</v>
          </cell>
          <cell r="C246" t="str">
            <v>-</v>
          </cell>
          <cell r="D246"/>
          <cell r="E246">
            <v>5.8767756638492602E-3</v>
          </cell>
          <cell r="F246">
            <v>3.6413212914422203E-5</v>
          </cell>
          <cell r="G246">
            <v>0.260574636339926</v>
          </cell>
          <cell r="H246">
            <v>1.4004358077648099E-2</v>
          </cell>
          <cell r="I246">
            <v>1.2843867196899899E-2</v>
          </cell>
          <cell r="J246"/>
          <cell r="K246"/>
        </row>
        <row r="247">
          <cell r="A247" t="str">
            <v>ITOT-SWHLFOBR</v>
          </cell>
          <cell r="B247" t="str">
            <v>VAR_cap</v>
          </cell>
          <cell r="C247" t="str">
            <v>-</v>
          </cell>
          <cell r="D247">
            <v>0.37633543963083199</v>
          </cell>
          <cell r="E247">
            <v>0.38220309906177496</v>
          </cell>
          <cell r="F247">
            <v>0.38218054715561167</v>
          </cell>
          <cell r="G247">
            <v>0.33696713098546593</v>
          </cell>
          <cell r="H247">
            <v>0.19236411934882705</v>
          </cell>
          <cell r="I247">
            <v>1.2905370380810801E-2</v>
          </cell>
          <cell r="J247"/>
          <cell r="K247"/>
        </row>
        <row r="248">
          <cell r="A248" t="str">
            <v>D-SCOM_LTH_CHPNGA</v>
          </cell>
          <cell r="B248" t="str">
            <v>VAR_fout</v>
          </cell>
          <cell r="C248" t="str">
            <v>LTH</v>
          </cell>
          <cell r="D248"/>
          <cell r="E248">
            <v>6.7240816572968406E-6</v>
          </cell>
          <cell r="F248"/>
          <cell r="G248"/>
          <cell r="H248"/>
          <cell r="I248"/>
          <cell r="J248"/>
        </row>
        <row r="249">
          <cell r="A249" t="str">
            <v>D-SCOM_LTH_CHPNGA</v>
          </cell>
          <cell r="B249" t="str">
            <v>VAR_fout</v>
          </cell>
          <cell r="C249" t="str">
            <v>SCOM_LTH_CHPNGA_ON</v>
          </cell>
          <cell r="D249">
            <v>0.69258646999284934</v>
          </cell>
          <cell r="E249">
            <v>0.75020473937853971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VAR_fin</v>
          </cell>
          <cell r="C250" t="str">
            <v>SCOM_LTH_CHPNGA</v>
          </cell>
          <cell r="D250">
            <v>0.69258646999284934</v>
          </cell>
          <cell r="E250">
            <v>0.7502114634601974</v>
          </cell>
          <cell r="F250"/>
          <cell r="G250"/>
          <cell r="H250"/>
          <cell r="I250"/>
          <cell r="J250"/>
        </row>
        <row r="251">
          <cell r="A251" t="str">
            <v>RHSA-WHCONBR3</v>
          </cell>
          <cell r="B251" t="str">
            <v>VAR_ncap</v>
          </cell>
          <cell r="C251" t="str">
            <v>-</v>
          </cell>
          <cell r="D251"/>
          <cell r="E251"/>
          <cell r="F251">
            <v>375</v>
          </cell>
          <cell r="G251">
            <v>3.2785296741780998</v>
          </cell>
          <cell r="H251"/>
          <cell r="I251"/>
          <cell r="J251"/>
        </row>
        <row r="252">
          <cell r="A252" t="str">
            <v>RHSA-WHCONBR3</v>
          </cell>
          <cell r="B252" t="str">
            <v>VAR_cap</v>
          </cell>
          <cell r="C252" t="str">
            <v>-</v>
          </cell>
          <cell r="D252"/>
          <cell r="E252"/>
          <cell r="F252">
            <v>375</v>
          </cell>
          <cell r="G252">
            <v>7.9831504248730312</v>
          </cell>
          <cell r="H252">
            <v>4.3690599867030073</v>
          </cell>
          <cell r="I252">
            <v>1.9630166241439611</v>
          </cell>
          <cell r="J252"/>
          <cell r="K252"/>
        </row>
        <row r="253">
          <cell r="A253" t="str">
            <v>D-IWOD</v>
          </cell>
          <cell r="B253" t="str">
            <v>VAR_fout</v>
          </cell>
          <cell r="C253" t="str">
            <v>IWOD</v>
          </cell>
          <cell r="D253">
            <v>9.8747113938026061</v>
          </cell>
          <cell r="E253">
            <v>11.335899483203406</v>
          </cell>
          <cell r="F253">
            <v>14.307109944653865</v>
          </cell>
          <cell r="G253">
            <v>16.981534329859699</v>
          </cell>
          <cell r="H253">
            <v>15.806756068117657</v>
          </cell>
          <cell r="I253">
            <v>10.966747971224851</v>
          </cell>
          <cell r="J253"/>
          <cell r="K253"/>
        </row>
        <row r="254">
          <cell r="A254" t="str">
            <v>D-IWOD</v>
          </cell>
          <cell r="B254" t="str">
            <v>VAR_fin</v>
          </cell>
          <cell r="C254" t="str">
            <v>WOD</v>
          </cell>
          <cell r="D254">
            <v>9.8747113938026061</v>
          </cell>
          <cell r="E254">
            <v>11.335899483203406</v>
          </cell>
          <cell r="F254">
            <v>14.307109944653865</v>
          </cell>
          <cell r="G254">
            <v>16.981534329859699</v>
          </cell>
          <cell r="H254">
            <v>15.806756068117657</v>
          </cell>
          <cell r="I254">
            <v>10.966747971224851</v>
          </cell>
          <cell r="J254"/>
          <cell r="K254"/>
        </row>
        <row r="255">
          <cell r="A255" t="str">
            <v>RHSA-WHCONBR4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3.27852967417819</v>
          </cell>
          <cell r="H255"/>
          <cell r="I255"/>
          <cell r="J255"/>
        </row>
        <row r="256">
          <cell r="A256" t="str">
            <v>RHSA-WHCONBR4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7.983150424872008</v>
          </cell>
          <cell r="H256">
            <v>4.3690599867030073</v>
          </cell>
          <cell r="I256">
            <v>1.9630166241439611</v>
          </cell>
          <cell r="J256"/>
        </row>
        <row r="257">
          <cell r="A257" t="str">
            <v>SCOM-ELCSPEC</v>
          </cell>
          <cell r="B257" t="str">
            <v>VAR_fout</v>
          </cell>
          <cell r="C257" t="str">
            <v>SCOM-ELS</v>
          </cell>
          <cell r="D257">
            <v>56.994774574912441</v>
          </cell>
          <cell r="E257">
            <v>58.701900290358104</v>
          </cell>
          <cell r="F257">
            <v>45.224165788195329</v>
          </cell>
          <cell r="G257">
            <v>35.3814798229077</v>
          </cell>
          <cell r="H257">
            <v>23.491579625331788</v>
          </cell>
          <cell r="I257">
            <v>14.536158610578612</v>
          </cell>
          <cell r="J257"/>
          <cell r="K257"/>
        </row>
        <row r="258">
          <cell r="A258" t="str">
            <v>SCOM-ELCSPEC</v>
          </cell>
          <cell r="B258" t="str">
            <v>VAR_fin</v>
          </cell>
          <cell r="C258" t="str">
            <v>SCOM_ELC</v>
          </cell>
          <cell r="D258">
            <v>56.994774574912441</v>
          </cell>
          <cell r="E258">
            <v>58.701900290358104</v>
          </cell>
          <cell r="F258">
            <v>45.224165788195329</v>
          </cell>
          <cell r="G258">
            <v>35.3814798229077</v>
          </cell>
          <cell r="H258">
            <v>23.491579625331788</v>
          </cell>
          <cell r="I258">
            <v>14.536158610578612</v>
          </cell>
          <cell r="J258"/>
        </row>
        <row r="259">
          <cell r="A259" t="str">
            <v>SCOM-ELCSPEC</v>
          </cell>
          <cell r="B259" t="str">
            <v>VAR_ncap</v>
          </cell>
          <cell r="C259" t="str">
            <v>-</v>
          </cell>
          <cell r="D259">
            <v>9.3462934056344297E-7</v>
          </cell>
          <cell r="E259">
            <v>5.7353810511726797E-6</v>
          </cell>
          <cell r="F259">
            <v>3.9135777513729397E-6</v>
          </cell>
          <cell r="G259">
            <v>3.6694185814452801E-6</v>
          </cell>
          <cell r="H259">
            <v>6.3089224942473501E-6</v>
          </cell>
          <cell r="I259">
            <v>1.3158924914371199</v>
          </cell>
          <cell r="J259"/>
          <cell r="K259"/>
        </row>
        <row r="260">
          <cell r="A260" t="str">
            <v>SCOM-ELCSPEC</v>
          </cell>
          <cell r="B260" t="str">
            <v>VAR_cap</v>
          </cell>
          <cell r="C260" t="str">
            <v>-</v>
          </cell>
          <cell r="D260">
            <v>6.6055322029832002</v>
          </cell>
          <cell r="E260">
            <v>6.2047589161538133</v>
          </cell>
          <cell r="F260">
            <v>4.7801732168939628</v>
          </cell>
          <cell r="G260">
            <v>3.7398026216579443</v>
          </cell>
          <cell r="H260">
            <v>2.483053943898379</v>
          </cell>
          <cell r="I260">
            <v>1.5364633997720083</v>
          </cell>
          <cell r="J260"/>
          <cell r="K260"/>
        </row>
        <row r="261">
          <cell r="A261" t="str">
            <v>D-ITOT_KEV_WST_ELC_CHP</v>
          </cell>
          <cell r="B261" t="str">
            <v>VAR_fout</v>
          </cell>
          <cell r="C261" t="str">
            <v>ITOT_ELC</v>
          </cell>
          <cell r="D261">
            <v>2.2061002712520095E-3</v>
          </cell>
          <cell r="E261">
            <v>8.3947477659008628E-4</v>
          </cell>
          <cell r="F261">
            <v>1.5723339570213007E-3</v>
          </cell>
          <cell r="G261">
            <v>0.32642499041575246</v>
          </cell>
          <cell r="H261">
            <v>8.3175934389179522E-3</v>
          </cell>
          <cell r="I261">
            <v>0.10984428773061893</v>
          </cell>
          <cell r="J261"/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ELC5</v>
          </cell>
          <cell r="D262">
            <v>0.22785376509718105</v>
          </cell>
          <cell r="E262">
            <v>0.22932367999268521</v>
          </cell>
          <cell r="F262">
            <v>0.33517026072538997</v>
          </cell>
          <cell r="G262">
            <v>6.5541888789152868E-3</v>
          </cell>
          <cell r="H262">
            <v>0.32252372458425593</v>
          </cell>
          <cell r="I262">
            <v>0.48907313639205907</v>
          </cell>
          <cell r="J262"/>
          <cell r="K262"/>
        </row>
        <row r="263">
          <cell r="A263" t="str">
            <v>D-ITOT_KEV_WST_ELC_CHP</v>
          </cell>
          <cell r="B263" t="str">
            <v>VAR_fin</v>
          </cell>
          <cell r="C263" t="str">
            <v>ITOT_KEV_WST_ELC_CHP</v>
          </cell>
          <cell r="D263">
            <v>0.23005986536843293</v>
          </cell>
          <cell r="E263">
            <v>0.23016315476927521</v>
          </cell>
          <cell r="F263">
            <v>0.33670952769483437</v>
          </cell>
          <cell r="G263">
            <v>0.33295024456692901</v>
          </cell>
          <cell r="H263">
            <v>0.33084131802317379</v>
          </cell>
          <cell r="I263">
            <v>0.59891742412267812</v>
          </cell>
          <cell r="J263"/>
        </row>
        <row r="264">
          <cell r="A264" t="str">
            <v>RHSA-WHCONBR5</v>
          </cell>
          <cell r="B264" t="str">
            <v>VAR_ncap</v>
          </cell>
          <cell r="C264" t="str">
            <v>-</v>
          </cell>
          <cell r="D264"/>
          <cell r="E264"/>
          <cell r="F264">
            <v>375</v>
          </cell>
          <cell r="G264">
            <v>3.2785296741780998</v>
          </cell>
          <cell r="H264"/>
          <cell r="I264"/>
          <cell r="J264"/>
        </row>
        <row r="265">
          <cell r="A265" t="str">
            <v>RHSA-WHCONBR5</v>
          </cell>
          <cell r="B265" t="str">
            <v>VAR_cap</v>
          </cell>
          <cell r="C265" t="str">
            <v>-</v>
          </cell>
          <cell r="D265"/>
          <cell r="E265"/>
          <cell r="F265">
            <v>375</v>
          </cell>
          <cell r="G265">
            <v>7.9831504248730312</v>
          </cell>
          <cell r="H265">
            <v>4.3690599867030073</v>
          </cell>
          <cell r="I265">
            <v>1.9630166241439611</v>
          </cell>
          <cell r="J265"/>
        </row>
        <row r="266">
          <cell r="A266" t="str">
            <v>D-RHNM_SOLELC</v>
          </cell>
          <cell r="B266" t="str">
            <v>VAR_fout</v>
          </cell>
          <cell r="C266" t="str">
            <v>ELC5</v>
          </cell>
          <cell r="D266"/>
          <cell r="E266">
            <v>2.5672089596996334E-5</v>
          </cell>
          <cell r="F266">
            <v>0.91511554355846259</v>
          </cell>
          <cell r="G266">
            <v>1.0129696426282175</v>
          </cell>
          <cell r="H266">
            <v>1.1453726791497563</v>
          </cell>
          <cell r="I266">
            <v>1.1981178815948321</v>
          </cell>
          <cell r="J266"/>
        </row>
        <row r="267">
          <cell r="A267" t="str">
            <v>D-RHNM_SOLELC</v>
          </cell>
          <cell r="B267" t="str">
            <v>VAR_fout</v>
          </cell>
          <cell r="C267" t="str">
            <v>RHNM_ELC</v>
          </cell>
          <cell r="D267"/>
          <cell r="E267">
            <v>2.5551956486566762E-5</v>
          </cell>
          <cell r="F267">
            <v>0.79719858705026547</v>
          </cell>
          <cell r="G267">
            <v>0.88032521639290096</v>
          </cell>
          <cell r="H267">
            <v>0.95100323038451218</v>
          </cell>
          <cell r="I267">
            <v>1.1176450498617974</v>
          </cell>
          <cell r="J267"/>
        </row>
        <row r="268">
          <cell r="A268" t="str">
            <v>D-RHNM_SOLELC</v>
          </cell>
          <cell r="B268" t="str">
            <v>VAR_fin</v>
          </cell>
          <cell r="C268" t="str">
            <v>RHNM_SOL_ELC</v>
          </cell>
          <cell r="D268"/>
          <cell r="E268">
            <v>4.3176555695042459E-5</v>
          </cell>
          <cell r="F268">
            <v>1.7123141306087291</v>
          </cell>
          <cell r="G268">
            <v>1.893294859021118</v>
          </cell>
          <cell r="H268">
            <v>2.0963759095342693</v>
          </cell>
          <cell r="I268">
            <v>2.3157629314566313</v>
          </cell>
          <cell r="J268"/>
        </row>
        <row r="269">
          <cell r="A269" t="str">
            <v>RHNM-SHSTG-ELCHP</v>
          </cell>
          <cell r="B269" t="str">
            <v>VAR_fout</v>
          </cell>
          <cell r="C269" t="str">
            <v>RHNM-SHAELCH</v>
          </cell>
          <cell r="D269"/>
          <cell r="E269">
            <v>1.7473331421648047E-5</v>
          </cell>
          <cell r="F269">
            <v>0.1751105468217844</v>
          </cell>
          <cell r="G269">
            <v>0.36074056068763116</v>
          </cell>
          <cell r="H269">
            <v>0.42766858695061377</v>
          </cell>
          <cell r="I269">
            <v>0.47078091610644413</v>
          </cell>
          <cell r="J269"/>
        </row>
        <row r="270">
          <cell r="A270" t="str">
            <v>RHNM-SHSTG-ELCHP</v>
          </cell>
          <cell r="B270" t="str">
            <v>VAR_fin</v>
          </cell>
          <cell r="C270" t="str">
            <v>RHNM-SHAELCH</v>
          </cell>
          <cell r="D270"/>
          <cell r="E270">
            <v>3.9925868543848091E-5</v>
          </cell>
          <cell r="F270">
            <v>0.17512119512389412</v>
          </cell>
          <cell r="G270">
            <v>0.36076745379402897</v>
          </cell>
          <cell r="H270">
            <v>0.42772677355609501</v>
          </cell>
          <cell r="I270">
            <v>0.47082868971018155</v>
          </cell>
          <cell r="J270"/>
          <cell r="K270"/>
        </row>
        <row r="271">
          <cell r="A271" t="str">
            <v>RHNM-SHSTG-ELCHP</v>
          </cell>
          <cell r="B271" t="str">
            <v>VAR_ncap</v>
          </cell>
          <cell r="C271" t="str">
            <v>-</v>
          </cell>
          <cell r="D271">
            <v>5.7120159731646599E-5</v>
          </cell>
          <cell r="E271">
            <v>6.7991465853027994E-5</v>
          </cell>
          <cell r="F271">
            <v>1.8276924063778999E-2</v>
          </cell>
          <cell r="G271">
            <v>1.06408720752022E-2</v>
          </cell>
          <cell r="H271">
            <v>2.2956342104537699E-2</v>
          </cell>
          <cell r="I271">
            <v>2.9131041386163702E-2</v>
          </cell>
          <cell r="J271"/>
          <cell r="K271"/>
        </row>
        <row r="272">
          <cell r="A272" t="str">
            <v>RHNM-SHSTG-ELCHP</v>
          </cell>
          <cell r="B272" t="str">
            <v>VAR_cap</v>
          </cell>
          <cell r="C272" t="str">
            <v>-</v>
          </cell>
          <cell r="D272">
            <v>5.7120159731646599E-5</v>
          </cell>
          <cell r="E272">
            <v>8.0069865460055803E-5</v>
          </cell>
          <cell r="F272">
            <v>1.8330171535228635E-2</v>
          </cell>
          <cell r="G272">
            <v>2.8932378450124446E-2</v>
          </cell>
          <cell r="H272">
            <v>4.1001830702477253E-2</v>
          </cell>
          <cell r="I272">
            <v>4.8946201802679612E-2</v>
          </cell>
          <cell r="J272"/>
          <cell r="K272"/>
        </row>
        <row r="273">
          <cell r="A273" t="str">
            <v>D-SCOM_LTH</v>
          </cell>
          <cell r="B273" t="str">
            <v>VAR_fout</v>
          </cell>
          <cell r="C273" t="str">
            <v>SCOM_LTH_DH</v>
          </cell>
          <cell r="D273">
            <v>5.6100124652462284</v>
          </cell>
          <cell r="E273">
            <v>6.0767081951439819</v>
          </cell>
          <cell r="F273">
            <v>6.0268155477090595</v>
          </cell>
          <cell r="G273">
            <v>9.5166990407696819</v>
          </cell>
          <cell r="H273">
            <v>9.9990344489427674</v>
          </cell>
          <cell r="I273">
            <v>8.2479007706170542</v>
          </cell>
          <cell r="J273"/>
          <cell r="K273"/>
        </row>
        <row r="274">
          <cell r="A274" t="str">
            <v>D-SCOM_LTH</v>
          </cell>
          <cell r="B274" t="str">
            <v>VAR_fin</v>
          </cell>
          <cell r="C274" t="str">
            <v>LTH</v>
          </cell>
          <cell r="D274">
            <v>6.0987892849908878</v>
          </cell>
          <cell r="E274">
            <v>6.6044100782554302</v>
          </cell>
          <cell r="F274">
            <v>6.5476035647956099</v>
          </cell>
          <cell r="G274">
            <v>10.332268256523404</v>
          </cell>
          <cell r="H274">
            <v>10.841707508488614</v>
          </cell>
          <cell r="I274">
            <v>8.9312877057977484</v>
          </cell>
          <cell r="J274"/>
          <cell r="K274"/>
        </row>
        <row r="275">
          <cell r="A275" t="str">
            <v>D-SCOM_LTH</v>
          </cell>
          <cell r="B275" t="str">
            <v>VAR_ncap</v>
          </cell>
          <cell r="C275" t="str">
            <v>-</v>
          </cell>
          <cell r="D275">
            <v>0.849700312178573</v>
          </cell>
          <cell r="E275">
            <v>1.7052689549322799E-7</v>
          </cell>
          <cell r="F275">
            <v>1.98133111949915E-7</v>
          </cell>
          <cell r="G275">
            <v>2.3273733914286099E-7</v>
          </cell>
          <cell r="H275">
            <v>3.6431388800210999E-7</v>
          </cell>
          <cell r="I275">
            <v>3.1472329688880998E-7</v>
          </cell>
          <cell r="J275"/>
          <cell r="K275"/>
        </row>
        <row r="276">
          <cell r="A276" t="str">
            <v>D-SCOM_LTH</v>
          </cell>
          <cell r="B276" t="str">
            <v>VAR_cap</v>
          </cell>
          <cell r="C276" t="str">
            <v>-</v>
          </cell>
          <cell r="D276">
            <v>0.849700312178573</v>
          </cell>
          <cell r="E276">
            <v>0.84970048270546905</v>
          </cell>
          <cell r="F276">
            <v>0.84970068083858097</v>
          </cell>
          <cell r="G276">
            <v>0.84970091357592004</v>
          </cell>
          <cell r="H276">
            <v>0.84970162653319403</v>
          </cell>
          <cell r="I276">
            <v>0.84970194125649101</v>
          </cell>
          <cell r="J276"/>
          <cell r="K276"/>
        </row>
        <row r="277">
          <cell r="A277" t="str">
            <v>ITOT-SWHBIOBR</v>
          </cell>
          <cell r="B277" t="str">
            <v>VAR_fout</v>
          </cell>
          <cell r="C277" t="str">
            <v>ITOT-SWH</v>
          </cell>
          <cell r="D277">
            <v>0.31055695841056963</v>
          </cell>
          <cell r="E277">
            <v>0.3925295869627406</v>
          </cell>
          <cell r="F277">
            <v>0.39414681468860852</v>
          </cell>
          <cell r="G277">
            <v>0.39414015430031435</v>
          </cell>
          <cell r="H277">
            <v>0.39413824749598619</v>
          </cell>
          <cell r="I277">
            <v>0.39912695433521789</v>
          </cell>
          <cell r="J277"/>
          <cell r="K277"/>
        </row>
        <row r="278">
          <cell r="A278" t="str">
            <v>ITOT-SWHBIOBR</v>
          </cell>
          <cell r="B278" t="str">
            <v>VAR_fin</v>
          </cell>
          <cell r="C278" t="str">
            <v>IBIO</v>
          </cell>
          <cell r="D278">
            <v>0.43678897104158904</v>
          </cell>
          <cell r="E278">
            <v>0.5520809943217172</v>
          </cell>
          <cell r="F278">
            <v>0.55435557621463849</v>
          </cell>
          <cell r="G278">
            <v>0.55434620857990757</v>
          </cell>
          <cell r="H278">
            <v>0.5543435267172806</v>
          </cell>
          <cell r="I278">
            <v>0.55434299213224747</v>
          </cell>
          <cell r="J278"/>
        </row>
        <row r="279">
          <cell r="A279" t="str">
            <v>ITOT-SWHBIOBR</v>
          </cell>
          <cell r="B279" t="str">
            <v>VAR_ncap</v>
          </cell>
          <cell r="C279" t="str">
            <v>-</v>
          </cell>
          <cell r="D279"/>
          <cell r="E279">
            <v>7.25228757288684E-3</v>
          </cell>
          <cell r="F279">
            <v>4.6587336987944697E-5</v>
          </cell>
          <cell r="G279">
            <v>2.6288818371117899E-2</v>
          </cell>
          <cell r="H279">
            <v>1.65358329131901E-2</v>
          </cell>
          <cell r="I279">
            <v>3.7749754101170402E-2</v>
          </cell>
          <cell r="J279"/>
          <cell r="K279"/>
        </row>
        <row r="280">
          <cell r="A280" t="str">
            <v>ITOT-SWHBIOBR</v>
          </cell>
          <cell r="B280" t="str">
            <v>VAR_cap</v>
          </cell>
          <cell r="C280" t="str">
            <v>-</v>
          </cell>
          <cell r="D280">
            <v>1.7013611085743299E-2</v>
          </cell>
          <cell r="E280">
            <v>2.425896187983401E-2</v>
          </cell>
          <cell r="F280">
            <v>2.4277950307591854E-2</v>
          </cell>
          <cell r="G280">
            <v>3.4562068589926498E-2</v>
          </cell>
          <cell r="H280">
            <v>3.5603594289319737E-2</v>
          </cell>
          <cell r="I280">
            <v>3.8410688087237702E-2</v>
          </cell>
          <cell r="J280"/>
          <cell r="K280"/>
        </row>
        <row r="281">
          <cell r="A281" t="str">
            <v>RHNS-SHPLTBR</v>
          </cell>
          <cell r="B281" t="str">
            <v>VAR_fout</v>
          </cell>
          <cell r="C281" t="str">
            <v>RHNS-SHPLT</v>
          </cell>
          <cell r="D281"/>
          <cell r="E281"/>
          <cell r="F281">
            <v>1.3681583937136395E-5</v>
          </cell>
          <cell r="G281">
            <v>1.213675265035141E-5</v>
          </cell>
          <cell r="H281">
            <v>4.7173707030799981E-6</v>
          </cell>
          <cell r="I281"/>
          <cell r="J281"/>
        </row>
        <row r="282">
          <cell r="A282" t="str">
            <v>RHNS-SHPLTBR</v>
          </cell>
          <cell r="B282" t="str">
            <v>VAR_fin</v>
          </cell>
          <cell r="C282" t="str">
            <v>RPLT</v>
          </cell>
          <cell r="D282"/>
          <cell r="E282"/>
          <cell r="F282">
            <v>1.870571434039454E-5</v>
          </cell>
          <cell r="G282">
            <v>1.6593592462731854E-5</v>
          </cell>
          <cell r="H282">
            <v>6.4496763835978721E-6</v>
          </cell>
          <cell r="I282"/>
          <cell r="J282"/>
          <cell r="K282"/>
        </row>
        <row r="283">
          <cell r="A283" t="str">
            <v>RHNS-SHPLTBR</v>
          </cell>
          <cell r="B283" t="str">
            <v>VAR_ncap</v>
          </cell>
          <cell r="C283" t="str">
            <v>-</v>
          </cell>
          <cell r="D283"/>
          <cell r="E283">
            <v>3.3900124039662302E-7</v>
          </cell>
          <cell r="F283">
            <v>6.9994740283752194E-5</v>
          </cell>
          <cell r="G283">
            <v>4.0381377612629301E-5</v>
          </cell>
          <cell r="H283">
            <v>7.1428178402824196E-7</v>
          </cell>
          <cell r="I283">
            <v>2.07301043588193E-7</v>
          </cell>
          <cell r="J283"/>
          <cell r="K283"/>
        </row>
        <row r="284">
          <cell r="A284" t="str">
            <v>RHNS-SHPLTBR</v>
          </cell>
          <cell r="B284" t="str">
            <v>VAR_cap</v>
          </cell>
          <cell r="C284" t="str">
            <v>-</v>
          </cell>
          <cell r="D284"/>
          <cell r="E284">
            <v>3.3900124039662302E-7</v>
          </cell>
          <cell r="F284">
            <v>7.0116997250967681E-5</v>
          </cell>
          <cell r="G284">
            <v>1.0977294363660125E-4</v>
          </cell>
          <cell r="H284">
            <v>4.0622510827627551E-5</v>
          </cell>
          <cell r="I284">
            <v>1.3719149091843198E-7</v>
          </cell>
          <cell r="J284"/>
          <cell r="K284"/>
        </row>
        <row r="285">
          <cell r="A285" t="str">
            <v>D-RHNM_KEV_WOD_ELC_CHP</v>
          </cell>
          <cell r="B285" t="str">
            <v>VAR_fout</v>
          </cell>
          <cell r="C285" t="str">
            <v>ELC5</v>
          </cell>
          <cell r="D285"/>
          <cell r="E285"/>
          <cell r="F285"/>
          <cell r="G285">
            <v>4.7952208944339466E-4</v>
          </cell>
          <cell r="H285">
            <v>2.3423033642552051E-4</v>
          </cell>
          <cell r="I285">
            <v>3.9619920026987389E-4</v>
          </cell>
          <cell r="J285"/>
          <cell r="K285"/>
        </row>
        <row r="286">
          <cell r="A286" t="str">
            <v>D-RHNM_KEV_WOD_ELC_CHP</v>
          </cell>
          <cell r="B286" t="str">
            <v>VAR_fout</v>
          </cell>
          <cell r="C286" t="str">
            <v>RHNM_ELC</v>
          </cell>
          <cell r="D286"/>
          <cell r="E286"/>
          <cell r="F286"/>
          <cell r="G286">
            <v>2.9920216313364259E-4</v>
          </cell>
          <cell r="H286">
            <v>2.3404202492951508E-4</v>
          </cell>
          <cell r="I286">
            <v>3.9577635287992209E-4</v>
          </cell>
          <cell r="J286"/>
        </row>
        <row r="287">
          <cell r="A287" t="str">
            <v>D-RHNM_KEV_WOD_ELC_CHP</v>
          </cell>
          <cell r="B287" t="str">
            <v>VAR_fin</v>
          </cell>
          <cell r="C287" t="str">
            <v>RHNM_KEV_WOD_ELC_CHP</v>
          </cell>
          <cell r="D287"/>
          <cell r="E287"/>
          <cell r="F287"/>
          <cell r="G287">
            <v>7.6373416978852478E-4</v>
          </cell>
          <cell r="H287">
            <v>4.4252355610592184E-4</v>
          </cell>
          <cell r="I287">
            <v>7.7078415388472034E-4</v>
          </cell>
          <cell r="J287"/>
          <cell r="K287"/>
        </row>
        <row r="288">
          <cell r="A288" t="str">
            <v>SCOM-SHLTHCHPNGA</v>
          </cell>
          <cell r="B288" t="str">
            <v>VAR_fout</v>
          </cell>
          <cell r="C288" t="str">
            <v>SCOM-SHLTHC-NGA</v>
          </cell>
          <cell r="D288">
            <v>0.68566060529292117</v>
          </cell>
          <cell r="E288">
            <v>0.74270269198475392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SCOMLTHCHPC</v>
          </cell>
          <cell r="D289">
            <v>0.68566060529292117</v>
          </cell>
          <cell r="E289">
            <v>0.74270269198475392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VAR_fin</v>
          </cell>
          <cell r="C290" t="str">
            <v>SCOM_LTH_CHPNGA_ON</v>
          </cell>
          <cell r="D290">
            <v>0.69258646999284934</v>
          </cell>
          <cell r="E290">
            <v>0.75020473937853971</v>
          </cell>
          <cell r="F290"/>
          <cell r="G290"/>
          <cell r="H290"/>
          <cell r="I290"/>
          <cell r="J290"/>
          <cell r="K290"/>
        </row>
        <row r="291">
          <cell r="A291" t="str">
            <v>SCOM-SHLTHCHPNGA</v>
          </cell>
          <cell r="B291" t="str">
            <v>VAR_ncap</v>
          </cell>
          <cell r="C291" t="str">
            <v>-</v>
          </cell>
          <cell r="D291">
            <v>1.4511257362803999E-7</v>
          </cell>
          <cell r="E291">
            <v>3.4216415461858503E-2</v>
          </cell>
          <cell r="F291">
            <v>9.4397078064049596E-4</v>
          </cell>
          <cell r="G291">
            <v>6.0924108315087502E-4</v>
          </cell>
          <cell r="H291">
            <v>6.1876209990268096E-5</v>
          </cell>
          <cell r="I291">
            <v>5.4275920942653502E-5</v>
          </cell>
          <cell r="J291"/>
          <cell r="K291"/>
        </row>
        <row r="292">
          <cell r="A292" t="str">
            <v>SCOM-SHLTHCHPNGA</v>
          </cell>
          <cell r="B292" t="str">
            <v>VAR_cap</v>
          </cell>
          <cell r="C292" t="str">
            <v>-</v>
          </cell>
          <cell r="D292">
            <v>7.5969414071100527E-2</v>
          </cell>
          <cell r="E292">
            <v>5.7393363773536203E-2</v>
          </cell>
          <cell r="F292">
            <v>1.6456008789586113E-3</v>
          </cell>
          <cell r="G292">
            <v>1.1915362515333983E-3</v>
          </cell>
          <cell r="H292">
            <v>1.2546765725788005E-4</v>
          </cell>
          <cell r="I292">
            <v>7.7124394481121029E-5</v>
          </cell>
          <cell r="J292"/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2093.6584239297399</v>
          </cell>
          <cell r="H293">
            <v>2077.42147101112</v>
          </cell>
          <cell r="I293">
            <v>2063.7512961544098</v>
          </cell>
          <cell r="J293"/>
          <cell r="K293"/>
        </row>
        <row r="294">
          <cell r="A294" t="str">
            <v>ITOT-PROCESSCO2</v>
          </cell>
          <cell r="B294" t="str">
            <v>VAR_fout</v>
          </cell>
          <cell r="C294" t="str">
            <v>CO2P</v>
          </cell>
          <cell r="D294">
            <v>2089.34680048464</v>
          </cell>
          <cell r="E294">
            <v>2111.0131698740802</v>
          </cell>
          <cell r="F294">
            <v>2102.26947106126</v>
          </cell>
          <cell r="G294">
            <v>2093.6584239297413</v>
          </cell>
          <cell r="H294">
            <v>2077.4214710111187</v>
          </cell>
          <cell r="I294">
            <v>2063.7512961544053</v>
          </cell>
          <cell r="J294"/>
          <cell r="K294"/>
        </row>
        <row r="295">
          <cell r="A295" t="str">
            <v>RHNM-SHWODBR</v>
          </cell>
          <cell r="B295" t="str">
            <v>VAR_fout</v>
          </cell>
          <cell r="C295" t="str">
            <v>RHNM-SHWOD</v>
          </cell>
          <cell r="D295"/>
          <cell r="E295">
            <v>8.1153408592645498E-2</v>
          </cell>
          <cell r="F295">
            <v>6.4343177812038986E-3</v>
          </cell>
          <cell r="G295">
            <v>1.2229994021770921E-2</v>
          </cell>
          <cell r="H295">
            <v>1.4180953198477342E-2</v>
          </cell>
          <cell r="I295">
            <v>2.97838080594315E-3</v>
          </cell>
          <cell r="J295"/>
          <cell r="K295"/>
        </row>
        <row r="296">
          <cell r="A296" t="str">
            <v>RHNM-SHWODBR</v>
          </cell>
          <cell r="B296" t="str">
            <v>VAR_fin</v>
          </cell>
          <cell r="C296" t="str">
            <v>RHNMWODBRC</v>
          </cell>
          <cell r="D296"/>
          <cell r="E296">
            <v>8.1153408592645498E-2</v>
          </cell>
          <cell r="F296">
            <v>6.4343177812038986E-3</v>
          </cell>
          <cell r="G296">
            <v>1.2229994021770921E-2</v>
          </cell>
          <cell r="H296">
            <v>1.4180953198477342E-2</v>
          </cell>
          <cell r="I296">
            <v>2.97838080594315E-3</v>
          </cell>
          <cell r="J296"/>
          <cell r="K296"/>
        </row>
        <row r="297">
          <cell r="A297" t="str">
            <v>RHNM-SHWODBR</v>
          </cell>
          <cell r="B297" t="str">
            <v>VAR_fin</v>
          </cell>
          <cell r="C297" t="str">
            <v>RWOD</v>
          </cell>
          <cell r="D297"/>
          <cell r="E297">
            <v>0.11271306748978546</v>
          </cell>
          <cell r="F297">
            <v>8.6372173785945056E-3</v>
          </cell>
          <cell r="G297">
            <v>1.6178521686632728E-2</v>
          </cell>
          <cell r="H297">
            <v>1.833623451261188E-2</v>
          </cell>
          <cell r="I297">
            <v>3.8511014147835604E-3</v>
          </cell>
          <cell r="J297"/>
          <cell r="K297"/>
        </row>
        <row r="298">
          <cell r="A298" t="str">
            <v>RHNM-SHWODBR</v>
          </cell>
          <cell r="B298" t="str">
            <v>VAR_ncap</v>
          </cell>
          <cell r="C298" t="str">
            <v>-</v>
          </cell>
          <cell r="D298"/>
          <cell r="E298">
            <v>6.3749191945783297E-3</v>
          </cell>
          <cell r="F298">
            <v>5.9327003816323698E-6</v>
          </cell>
          <cell r="G298"/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VAR_cap</v>
          </cell>
          <cell r="C299" t="str">
            <v>-</v>
          </cell>
          <cell r="D299"/>
          <cell r="E299">
            <v>6.3749191945783297E-3</v>
          </cell>
          <cell r="F299">
            <v>6.3035996091633274E-3</v>
          </cell>
          <cell r="G299">
            <v>6.0297669571695023E-3</v>
          </cell>
          <cell r="H299">
            <v>1.2088034311239205E-3</v>
          </cell>
          <cell r="I299">
            <v>5.1023682575635995E-4</v>
          </cell>
          <cell r="J299"/>
          <cell r="K299"/>
        </row>
        <row r="300">
          <cell r="A300" t="str">
            <v>RHNS-SHDEM</v>
          </cell>
          <cell r="B300" t="str">
            <v>VAR_fout</v>
          </cell>
          <cell r="C300" t="str">
            <v>RHNS-SHD</v>
          </cell>
          <cell r="D300"/>
          <cell r="E300">
            <v>0.40468474157116097</v>
          </cell>
          <cell r="F300">
            <v>1.3779608051312087</v>
          </cell>
          <cell r="G300">
            <v>2.6016089605277117</v>
          </cell>
          <cell r="H300">
            <v>3.7651232350011239</v>
          </cell>
          <cell r="I300">
            <v>4.2612451582910396</v>
          </cell>
          <cell r="J300"/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RHNS-SHLTHC-WOD</v>
          </cell>
          <cell r="D301"/>
          <cell r="E301"/>
          <cell r="F301">
            <v>9.2108605763782647E-5</v>
          </cell>
          <cell r="G301">
            <v>1.386186897028783E-4</v>
          </cell>
          <cell r="H301">
            <v>1.9736883371278719E-5</v>
          </cell>
          <cell r="I301">
            <v>1.4433828154810244E-4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RHNS-SHLFO</v>
          </cell>
          <cell r="D302"/>
          <cell r="E302">
            <v>4.6671416671050279E-4</v>
          </cell>
          <cell r="F302">
            <v>2.9799925440071942E-2</v>
          </cell>
          <cell r="G302">
            <v>3.3575682807789518E-2</v>
          </cell>
          <cell r="H302">
            <v>2.2154933660236017E-2</v>
          </cell>
          <cell r="I302">
            <v>2.3957156963234261E-5</v>
          </cell>
          <cell r="J302"/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RHNS-SHNGAH</v>
          </cell>
          <cell r="D303"/>
          <cell r="E303"/>
          <cell r="F303">
            <v>0.18920886898310393</v>
          </cell>
          <cell r="G303">
            <v>0.60776154784919656</v>
          </cell>
          <cell r="H303">
            <v>0.9227966887677056</v>
          </cell>
          <cell r="I303">
            <v>0.93685091142635757</v>
          </cell>
          <cell r="J303"/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RHNS-SHCON</v>
          </cell>
          <cell r="D304"/>
          <cell r="E304"/>
          <cell r="F304">
            <v>3.7241261032550585E-3</v>
          </cell>
          <cell r="G304">
            <v>1.0349456399818173E-2</v>
          </cell>
          <cell r="H304">
            <v>0.19291850570083702</v>
          </cell>
          <cell r="I304">
            <v>0.21454813694129687</v>
          </cell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RHNS-SHWOD</v>
          </cell>
          <cell r="D305"/>
          <cell r="E305">
            <v>2.6340642713915872E-2</v>
          </cell>
          <cell r="F305">
            <v>5.3188132042607085E-3</v>
          </cell>
          <cell r="G305">
            <v>1.1839093435386952E-2</v>
          </cell>
          <cell r="H305">
            <v>1.2880268591560941E-2</v>
          </cell>
          <cell r="I305">
            <v>1.1922632152831774E-2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RHNS-SHNST</v>
          </cell>
          <cell r="D306"/>
          <cell r="E306"/>
          <cell r="F306">
            <v>2.5583741896423074E-4</v>
          </cell>
          <cell r="G306">
            <v>2.7743914917362203E-5</v>
          </cell>
          <cell r="H306">
            <v>6.6138829870683916E-4</v>
          </cell>
          <cell r="I306">
            <v>3.7081553434781428E-5</v>
          </cell>
          <cell r="J306"/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RHNS-SHPLT</v>
          </cell>
          <cell r="D307"/>
          <cell r="E307">
            <v>2.6289838193041293E-4</v>
          </cell>
          <cell r="F307">
            <v>7.6518456941002393E-4</v>
          </cell>
          <cell r="G307">
            <v>5.1427464053362419E-4</v>
          </cell>
          <cell r="H307">
            <v>1.1853550851716145E-3</v>
          </cell>
          <cell r="I307">
            <v>1.6372750021133543E-5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RHNS-SHLTHD</v>
          </cell>
          <cell r="D308"/>
          <cell r="E308">
            <v>5.383434777045859E-2</v>
          </cell>
          <cell r="F308">
            <v>3.2979294206452511E-3</v>
          </cell>
          <cell r="G308">
            <v>0.15357026243654961</v>
          </cell>
          <cell r="H308">
            <v>0.1736594056110978</v>
          </cell>
          <cell r="I308">
            <v>0.1889288625461352</v>
          </cell>
          <cell r="J308"/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RHNS-SHELCB</v>
          </cell>
          <cell r="D309"/>
          <cell r="E309">
            <v>6.86186770326178E-2</v>
          </cell>
          <cell r="F309">
            <v>6.9586781859069533E-3</v>
          </cell>
          <cell r="G309">
            <v>9.7540801201676016E-3</v>
          </cell>
          <cell r="H309">
            <v>9.365453960716667E-3</v>
          </cell>
          <cell r="I309">
            <v>5.4601640231639473E-3</v>
          </cell>
          <cell r="J309"/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RHNS-SHELCH</v>
          </cell>
          <cell r="D310"/>
          <cell r="E310">
            <v>0.13955748972308518</v>
          </cell>
          <cell r="F310">
            <v>1.1122763896738421</v>
          </cell>
          <cell r="G310">
            <v>1.73938717969475</v>
          </cell>
          <cell r="H310">
            <v>2.3908539160073574</v>
          </cell>
          <cell r="I310">
            <v>2.8742725227441301</v>
          </cell>
          <cell r="J310"/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RHNS-SHSOL</v>
          </cell>
          <cell r="D311"/>
          <cell r="E311">
            <v>1.3156873458351096E-2</v>
          </cell>
          <cell r="F311">
            <v>7.9157405788719967E-4</v>
          </cell>
          <cell r="G311">
            <v>1.4141806638620748E-3</v>
          </cell>
          <cell r="H311">
            <v>2.6409388992271517E-3</v>
          </cell>
          <cell r="I311">
            <v>3.2045736311086979E-3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RHNS-SHLTHC-NGA</v>
          </cell>
          <cell r="D312"/>
          <cell r="E312">
            <v>1.1221829176371874E-3</v>
          </cell>
          <cell r="F312">
            <v>1.3300836713948816E-4</v>
          </cell>
          <cell r="G312">
            <v>1.5074602631716977E-4</v>
          </cell>
          <cell r="H312"/>
          <cell r="I312">
            <v>1.3132745260366945E-4</v>
          </cell>
          <cell r="J312"/>
        </row>
        <row r="313">
          <cell r="A313" t="str">
            <v>RHNS-SHDEM</v>
          </cell>
          <cell r="B313" t="str">
            <v>VAR_fin</v>
          </cell>
          <cell r="C313" t="str">
            <v>RHNS-SHNGA</v>
          </cell>
          <cell r="D313"/>
          <cell r="E313">
            <v>0.1016485384817738</v>
          </cell>
          <cell r="F313">
            <v>2.6025532197665738E-2</v>
          </cell>
          <cell r="G313">
            <v>3.3671823380060258E-2</v>
          </cell>
          <cell r="H313">
            <v>3.6469428693275581E-2</v>
          </cell>
          <cell r="I313">
            <v>2.6053809286465852E-2</v>
          </cell>
          <cell r="J313"/>
          <cell r="K313"/>
        </row>
        <row r="314">
          <cell r="A314" t="str">
            <v>RES-ELCSPEC</v>
          </cell>
          <cell r="B314" t="str">
            <v>VAR_fout</v>
          </cell>
          <cell r="C314" t="str">
            <v>RHSA-ELS</v>
          </cell>
          <cell r="D314">
            <v>44.576910279978513</v>
          </cell>
          <cell r="E314">
            <v>44.861188871426826</v>
          </cell>
          <cell r="F314">
            <v>49.523423564384593</v>
          </cell>
          <cell r="G314">
            <v>39.061848991853424</v>
          </cell>
          <cell r="H314">
            <v>21.139910051248144</v>
          </cell>
          <cell r="I314">
            <v>3.3560833706742428</v>
          </cell>
          <cell r="J314"/>
        </row>
        <row r="315">
          <cell r="A315" t="str">
            <v>RES-ELCSPEC</v>
          </cell>
          <cell r="B315" t="str">
            <v>VAR_fin</v>
          </cell>
          <cell r="C315" t="str">
            <v>RHSA_ELC</v>
          </cell>
          <cell r="D315">
            <v>44.576910279978513</v>
          </cell>
          <cell r="E315">
            <v>44.861188871426826</v>
          </cell>
          <cell r="F315">
            <v>49.523423564384593</v>
          </cell>
          <cell r="G315">
            <v>39.061848991853424</v>
          </cell>
          <cell r="H315">
            <v>21.139910051248144</v>
          </cell>
          <cell r="I315">
            <v>3.3560833706742428</v>
          </cell>
          <cell r="J315"/>
        </row>
        <row r="316">
          <cell r="A316" t="str">
            <v>RES-ELCSPEC</v>
          </cell>
          <cell r="B316" t="str">
            <v>VAR_ncap</v>
          </cell>
          <cell r="C316" t="str">
            <v>-</v>
          </cell>
          <cell r="D316">
            <v>0.193217797689094</v>
          </cell>
          <cell r="E316">
            <v>2.5085902227008901E-5</v>
          </cell>
          <cell r="F316">
            <v>0.47631383075991501</v>
          </cell>
          <cell r="G316">
            <v>4.5416782662617804E-6</v>
          </cell>
          <cell r="H316">
            <v>5.8879366528691299E-6</v>
          </cell>
          <cell r="I316">
            <v>0.38234668309855702</v>
          </cell>
          <cell r="J316"/>
          <cell r="K316"/>
        </row>
        <row r="317">
          <cell r="A317" t="str">
            <v>RES-ELCSPEC</v>
          </cell>
          <cell r="B317" t="str">
            <v>VAR_cap</v>
          </cell>
          <cell r="C317" t="str">
            <v>-</v>
          </cell>
          <cell r="D317">
            <v>4.7117544818195638</v>
          </cell>
          <cell r="E317">
            <v>4.7423954883594703</v>
          </cell>
          <cell r="F317">
            <v>5.2345927385085886</v>
          </cell>
          <cell r="G317">
            <v>4.1288257657865319</v>
          </cell>
          <cell r="H317">
            <v>2.2345389080532261</v>
          </cell>
          <cell r="I317">
            <v>0.74795015604129889</v>
          </cell>
          <cell r="J317"/>
          <cell r="K317"/>
          <cell r="L317"/>
          <cell r="M317"/>
        </row>
        <row r="318">
          <cell r="A318" t="str">
            <v>SCOM-SHCONBR1</v>
          </cell>
          <cell r="B318" t="str">
            <v>VAR_fout</v>
          </cell>
          <cell r="C318" t="str">
            <v>SCOM-SHCON</v>
          </cell>
          <cell r="D318"/>
          <cell r="E318">
            <v>2.617847202815188</v>
          </cell>
          <cell r="F318">
            <v>0.7423215832929303</v>
          </cell>
          <cell r="G318">
            <v>1.542202303978486</v>
          </cell>
          <cell r="H318">
            <v>2.6178017733746972</v>
          </cell>
          <cell r="I318">
            <v>2.6178114913803734</v>
          </cell>
          <cell r="J318"/>
          <cell r="K318"/>
        </row>
        <row r="319">
          <cell r="A319" t="str">
            <v>SCOM-SHCONBR1</v>
          </cell>
          <cell r="B319" t="str">
            <v>VAR_fin</v>
          </cell>
          <cell r="C319" t="str">
            <v>CON</v>
          </cell>
          <cell r="D319"/>
          <cell r="E319">
            <v>2.617847202815188</v>
          </cell>
          <cell r="F319">
            <v>0.7423215832929303</v>
          </cell>
          <cell r="G319">
            <v>1.542202303978486</v>
          </cell>
          <cell r="H319">
            <v>2.6178017733746972</v>
          </cell>
          <cell r="I319">
            <v>2.6178114913803734</v>
          </cell>
          <cell r="J319"/>
        </row>
        <row r="320">
          <cell r="A320" t="str">
            <v>SCOM-SHCONBR1</v>
          </cell>
          <cell r="B320" t="str">
            <v>VAR_ncap</v>
          </cell>
          <cell r="C320" t="str">
            <v>-</v>
          </cell>
          <cell r="E320">
            <v>0.20231504673688699</v>
          </cell>
          <cell r="F320">
            <v>6.9787051539523701E-7</v>
          </cell>
          <cell r="G320">
            <v>1.52441331457237E-6</v>
          </cell>
          <cell r="H320">
            <v>7.9414971584663499E-3</v>
          </cell>
          <cell r="I320">
            <v>8.9856104348836396E-2</v>
          </cell>
          <cell r="J320"/>
        </row>
        <row r="321">
          <cell r="A321" t="str">
            <v>SCOM-SHCONBR1</v>
          </cell>
          <cell r="B321" t="str">
            <v>VAR_cap</v>
          </cell>
          <cell r="C321" t="str">
            <v>-</v>
          </cell>
          <cell r="D321"/>
          <cell r="E321">
            <v>0.20231504673688699</v>
          </cell>
          <cell r="F321">
            <v>0.20231467573087084</v>
          </cell>
          <cell r="G321">
            <v>0.20231490638257771</v>
          </cell>
          <cell r="H321">
            <v>0.21025850523228928</v>
          </cell>
          <cell r="I321">
            <v>0.21475865419702231</v>
          </cell>
          <cell r="J321"/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RHSA-WHASOL</v>
          </cell>
          <cell r="D322">
            <v>5.4658668439640828E-5</v>
          </cell>
          <cell r="E322">
            <v>1.2690802985429075E-5</v>
          </cell>
          <cell r="F322">
            <v>2.6311962246391863E-2</v>
          </cell>
          <cell r="G322">
            <v>0.28728646125107454</v>
          </cell>
          <cell r="H322">
            <v>0.68504808911272352</v>
          </cell>
          <cell r="I322">
            <v>0.90990147581777481</v>
          </cell>
          <cell r="J322"/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2.724806710887379E-6</v>
          </cell>
          <cell r="E323">
            <v>7.930206265010725E-5</v>
          </cell>
          <cell r="F323">
            <v>2.637611450159948E-2</v>
          </cell>
          <cell r="G323">
            <v>0.28732619679117077</v>
          </cell>
          <cell r="H323">
            <v>0.68510158129005172</v>
          </cell>
          <cell r="I323">
            <v>0.90996953636202371</v>
          </cell>
          <cell r="J323"/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1.61269735449142E-2</v>
          </cell>
          <cell r="E324">
            <v>6.2496255979069999E-2</v>
          </cell>
          <cell r="F324">
            <v>1.6831702677299701E-6</v>
          </cell>
          <cell r="G324">
            <v>1.75576751769244E-2</v>
          </cell>
          <cell r="H324">
            <v>6.6226697395721498E-2</v>
          </cell>
          <cell r="I324">
            <v>9.6777056561520497E-2</v>
          </cell>
          <cell r="J324"/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1.6128036097877798E-2</v>
          </cell>
          <cell r="E325">
            <v>7.8624292076947905E-2</v>
          </cell>
          <cell r="F325">
            <v>7.8625975247215596E-2</v>
          </cell>
          <cell r="G325">
            <v>9.6183650424139996E-2</v>
          </cell>
          <cell r="H325">
            <v>0.135937457704219</v>
          </cell>
          <cell r="I325">
            <v>0.16925473912119901</v>
          </cell>
          <cell r="J325"/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4.0773179165892177</v>
          </cell>
          <cell r="F326">
            <v>1.0153656019691673</v>
          </cell>
          <cell r="G326">
            <v>2.3775945821842708</v>
          </cell>
          <cell r="H326">
            <v>4.0772756086506048</v>
          </cell>
          <cell r="I326">
            <v>4.0772867931891774</v>
          </cell>
          <cell r="J326"/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4.0773179165892177</v>
          </cell>
          <cell r="F327">
            <v>1.0153656019691673</v>
          </cell>
          <cell r="G327">
            <v>2.3775945821842708</v>
          </cell>
          <cell r="H327">
            <v>4.0772756086506048</v>
          </cell>
          <cell r="I327">
            <v>4.0772867931891774</v>
          </cell>
          <cell r="J327"/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0.31508709235542298</v>
          </cell>
          <cell r="F328">
            <v>6.5214783687894805E-7</v>
          </cell>
          <cell r="G328">
            <v>1.6972169483201099E-6</v>
          </cell>
          <cell r="H328">
            <v>8.5344781197068797E-3</v>
          </cell>
          <cell r="I328">
            <v>0.137745886701377</v>
          </cell>
          <cell r="J328"/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0.31508709235542298</v>
          </cell>
          <cell r="F329">
            <v>0.31508666313039729</v>
          </cell>
          <cell r="G329">
            <v>0.31508707657579027</v>
          </cell>
          <cell r="H329">
            <v>0.32362356831433031</v>
          </cell>
          <cell r="I329">
            <v>0.32843506523465188</v>
          </cell>
          <cell r="J329"/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2.4098051717109104</v>
          </cell>
          <cell r="F330">
            <v>0.60131892576126988</v>
          </cell>
          <cell r="G330">
            <v>1.3860110907039063</v>
          </cell>
          <cell r="H330">
            <v>3.2737434790661504</v>
          </cell>
          <cell r="I330">
            <v>3.2762467515095306</v>
          </cell>
          <cell r="J330"/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2.4098051717109104</v>
          </cell>
          <cell r="F331">
            <v>0.60131892576126988</v>
          </cell>
          <cell r="G331">
            <v>1.3860110907039063</v>
          </cell>
          <cell r="H331">
            <v>3.2737434790661504</v>
          </cell>
          <cell r="I331">
            <v>3.2762467515095306</v>
          </cell>
          <cell r="J331"/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0.18622390829614899</v>
          </cell>
          <cell r="F332">
            <v>4.1536173799058299E-7</v>
          </cell>
          <cell r="G332">
            <v>1.0194912596657801E-6</v>
          </cell>
          <cell r="H332">
            <v>6.6797025626306294E-2</v>
          </cell>
          <cell r="I332">
            <v>7.8752821135024298E-2</v>
          </cell>
          <cell r="J332"/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0.18622390829614899</v>
          </cell>
          <cell r="F333">
            <v>0.18622330165861872</v>
          </cell>
          <cell r="G333">
            <v>0.18622326653921425</v>
          </cell>
          <cell r="H333">
            <v>0.25302198129970782</v>
          </cell>
          <cell r="I333">
            <v>0.25320749290662597</v>
          </cell>
          <cell r="J333"/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5.0315598949423881E-3</v>
          </cell>
          <cell r="F334">
            <v>2.4775101967437771E-3</v>
          </cell>
          <cell r="G334">
            <v>2.6330372655933298E-3</v>
          </cell>
          <cell r="H334">
            <v>2.5528905922944042E-2</v>
          </cell>
          <cell r="I334">
            <v>3.2914066228734056</v>
          </cell>
          <cell r="J334"/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5.0315598949423881E-3</v>
          </cell>
          <cell r="F335">
            <v>2.4775101967437771E-3</v>
          </cell>
          <cell r="G335">
            <v>2.6330372655933298E-3</v>
          </cell>
          <cell r="H335">
            <v>2.5528905922944042E-2</v>
          </cell>
          <cell r="I335">
            <v>3.2914066228734056</v>
          </cell>
          <cell r="J335"/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4.0256696789263901E-4</v>
          </cell>
          <cell r="F336">
            <v>4.2840078231579498E-7</v>
          </cell>
          <cell r="G336">
            <v>1.2545637080512001E-6</v>
          </cell>
          <cell r="H336">
            <v>1.6091492577898E-3</v>
          </cell>
          <cell r="I336">
            <v>0.25250748339671403</v>
          </cell>
          <cell r="J336"/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4.0256696789263901E-4</v>
          </cell>
          <cell r="F337">
            <v>4.0244712204578846E-4</v>
          </cell>
          <cell r="G337">
            <v>4.0295434400618136E-4</v>
          </cell>
          <cell r="H337">
            <v>2.0129206749562516E-3</v>
          </cell>
          <cell r="I337">
            <v>0.25435089015143869</v>
          </cell>
          <cell r="J337"/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1127.9641705055201</v>
          </cell>
          <cell r="E338">
            <v>1213.943983523</v>
          </cell>
          <cell r="F338">
            <v>1255.52279764539</v>
          </cell>
          <cell r="G338">
            <v>810.62562004259303</v>
          </cell>
          <cell r="H338">
            <v>116.174474962009</v>
          </cell>
          <cell r="I338">
            <v>40.669617643765697</v>
          </cell>
          <cell r="J338"/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18.999396489011367</v>
          </cell>
          <cell r="E339">
            <v>20.447638020334256</v>
          </cell>
          <cell r="F339">
            <v>20.987969092095586</v>
          </cell>
          <cell r="G339">
            <v>13.550837540044425</v>
          </cell>
          <cell r="H339">
            <v>1.9420326690728422</v>
          </cell>
          <cell r="I339">
            <v>0.67985438392316799</v>
          </cell>
          <cell r="J339"/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19.999364725275107</v>
          </cell>
          <cell r="E340">
            <v>21.523829495088677</v>
          </cell>
          <cell r="F340">
            <v>22.261042511443115</v>
          </cell>
          <cell r="G340">
            <v>14.372794681606255</v>
          </cell>
          <cell r="H340">
            <v>2.0598311163476835</v>
          </cell>
          <cell r="I340">
            <v>0.72109251141428532</v>
          </cell>
          <cell r="J340"/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0.104691909954703</v>
          </cell>
          <cell r="F341">
            <v>3.05904268979236E-2</v>
          </cell>
          <cell r="G341">
            <v>1.2666013840905999E-6</v>
          </cell>
          <cell r="H341">
            <v>3.9098374460777803E-2</v>
          </cell>
          <cell r="I341">
            <v>5.5972209019117597E-7</v>
          </cell>
          <cell r="J341"/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1.4515262498630765</v>
          </cell>
          <cell r="F342">
            <v>1.4821161889158201</v>
          </cell>
          <cell r="G342">
            <v>1.4819769275966261</v>
          </cell>
          <cell r="H342">
            <v>0.13919915996513615</v>
          </cell>
          <cell r="I342">
            <v>6.8408979254708388E-2</v>
          </cell>
          <cell r="J342"/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3.27852967417819</v>
          </cell>
          <cell r="H343"/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7.983150424872008</v>
          </cell>
          <cell r="H344">
            <v>4.3690599867030073</v>
          </cell>
          <cell r="I344">
            <v>1.9630166241439611</v>
          </cell>
          <cell r="J344"/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3.7249146977765065E-3</v>
          </cell>
          <cell r="F345">
            <v>1.8591817761341855E-3</v>
          </cell>
          <cell r="G345">
            <v>1.9489185069079212E-3</v>
          </cell>
          <cell r="H345">
            <v>3.4811831966026219E-3</v>
          </cell>
          <cell r="I345">
            <v>1.8304067580551415</v>
          </cell>
          <cell r="J345"/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3.7249146977765065E-3</v>
          </cell>
          <cell r="F346">
            <v>1.8591817761341855E-3</v>
          </cell>
          <cell r="G346">
            <v>1.9489185069079212E-3</v>
          </cell>
          <cell r="H346">
            <v>3.4811831966026219E-3</v>
          </cell>
          <cell r="I346">
            <v>1.8304067580551415</v>
          </cell>
          <cell r="J346"/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3.0068938897641502E-4</v>
          </cell>
          <cell r="F347">
            <v>4.2353137193856802E-7</v>
          </cell>
          <cell r="G347">
            <v>1.1411467751580601E-6</v>
          </cell>
          <cell r="H347">
            <v>1.1907150475684501E-6</v>
          </cell>
          <cell r="I347">
            <v>0.141281453764872</v>
          </cell>
          <cell r="J347"/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3.0068938897641502E-4</v>
          </cell>
          <cell r="F348">
            <v>3.0064177240269306E-4</v>
          </cell>
          <cell r="G348">
            <v>3.0112229588180064E-4</v>
          </cell>
          <cell r="H348">
            <v>3.0298671930791427E-4</v>
          </cell>
          <cell r="I348">
            <v>0.14145787273975999</v>
          </cell>
          <cell r="J348"/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3.2785296741780998</v>
          </cell>
          <cell r="H349"/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7.9831504248730312</v>
          </cell>
          <cell r="H350">
            <v>4.3690599867030073</v>
          </cell>
          <cell r="I350">
            <v>1.9630166241439611</v>
          </cell>
          <cell r="J350"/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3.1301914268188989E-6</v>
          </cell>
          <cell r="E351">
            <v>4.1658700675590055E-6</v>
          </cell>
          <cell r="F351">
            <v>1.139008669616008</v>
          </cell>
          <cell r="G351">
            <v>1.2876248995206709</v>
          </cell>
          <cell r="H351">
            <v>1.4766830956706445</v>
          </cell>
          <cell r="I351">
            <v>2.1767288829636127</v>
          </cell>
          <cell r="J351"/>
          <cell r="K351"/>
        </row>
        <row r="352">
          <cell r="A352" t="str">
            <v>RHES-SHSTG-ELCHP</v>
          </cell>
          <cell r="B352" t="str">
            <v>VAR_fin</v>
          </cell>
          <cell r="C352" t="str">
            <v>RHES-SHAELCH</v>
          </cell>
          <cell r="D352">
            <v>5.1690109340032133E-5</v>
          </cell>
          <cell r="E352">
            <v>4.2759252106517881E-5</v>
          </cell>
          <cell r="F352">
            <v>1.1390348707537961</v>
          </cell>
          <cell r="G352">
            <v>1.2876631607916535</v>
          </cell>
          <cell r="H352">
            <v>1.4767350553855172</v>
          </cell>
          <cell r="I352">
            <v>2.1767989578991735</v>
          </cell>
          <cell r="J352"/>
          <cell r="K352"/>
        </row>
        <row r="353">
          <cell r="A353" t="str">
            <v>RHES-SHSTG-ELCHP</v>
          </cell>
          <cell r="B353" t="str">
            <v>VAR_ncap</v>
          </cell>
          <cell r="C353" t="str">
            <v>-</v>
          </cell>
          <cell r="D353">
            <v>1.28216476796011E-2</v>
          </cell>
          <cell r="E353">
            <v>0.133754095981339</v>
          </cell>
          <cell r="F353">
            <v>0.149203135718143</v>
          </cell>
          <cell r="G353">
            <v>9.7976666976656995E-2</v>
          </cell>
          <cell r="H353">
            <v>0.25812447731874</v>
          </cell>
          <cell r="I353">
            <v>0.17428099491048299</v>
          </cell>
          <cell r="J353"/>
          <cell r="K353"/>
        </row>
        <row r="354">
          <cell r="A354" t="str">
            <v>RHES-SHSTG-ELCHP</v>
          </cell>
          <cell r="B354" t="str">
            <v>VAR_cap</v>
          </cell>
          <cell r="C354" t="str">
            <v>-</v>
          </cell>
          <cell r="D354">
            <v>1.28216476796011E-2</v>
          </cell>
          <cell r="E354">
            <v>0.14649999398736102</v>
          </cell>
          <cell r="F354">
            <v>0.29566698410044095</v>
          </cell>
          <cell r="G354">
            <v>0.39360937608811247</v>
          </cell>
          <cell r="H354">
            <v>0.45505874524490664</v>
          </cell>
          <cell r="I354">
            <v>0.40539809036521662</v>
          </cell>
          <cell r="J354"/>
          <cell r="K354"/>
        </row>
        <row r="355">
          <cell r="A355" t="str">
            <v>SCOM-SHCONBR6</v>
          </cell>
          <cell r="B355" t="str">
            <v>VAR_fout</v>
          </cell>
          <cell r="C355" t="str">
            <v>SCOM-SHCON</v>
          </cell>
          <cell r="D355"/>
          <cell r="E355">
            <v>2.1479117001629491E-3</v>
          </cell>
          <cell r="F355">
            <v>1.109461022417937E-3</v>
          </cell>
          <cell r="G355">
            <v>1.1392704658737044E-3</v>
          </cell>
          <cell r="H355">
            <v>1.9442568549358863E-3</v>
          </cell>
          <cell r="I355">
            <v>1.3614460515166365E-3</v>
          </cell>
          <cell r="J355"/>
          <cell r="K355"/>
        </row>
        <row r="356">
          <cell r="A356" t="str">
            <v>SCOM-SHCONBR6</v>
          </cell>
          <cell r="B356" t="str">
            <v>VAR_fin</v>
          </cell>
          <cell r="C356" t="str">
            <v>CON</v>
          </cell>
          <cell r="D356"/>
          <cell r="E356">
            <v>2.1479117001629491E-3</v>
          </cell>
          <cell r="F356">
            <v>1.109461022417937E-3</v>
          </cell>
          <cell r="G356">
            <v>1.1392704658737044E-3</v>
          </cell>
          <cell r="H356">
            <v>1.9442568549358863E-3</v>
          </cell>
          <cell r="I356">
            <v>1.3614460515166365E-3</v>
          </cell>
          <cell r="J356"/>
          <cell r="K356"/>
        </row>
        <row r="357">
          <cell r="A357" t="str">
            <v>SCOM-SHCONBR6</v>
          </cell>
          <cell r="B357" t="str">
            <v>VAR_ncap</v>
          </cell>
          <cell r="C357" t="str">
            <v>-</v>
          </cell>
          <cell r="D357"/>
          <cell r="E357">
            <v>1.7639502124627E-4</v>
          </cell>
          <cell r="F357">
            <v>4.3415090947615901E-7</v>
          </cell>
          <cell r="G357">
            <v>1.2339867285385199E-6</v>
          </cell>
          <cell r="H357">
            <v>5.9818557362199103E-7</v>
          </cell>
          <cell r="I357">
            <v>1.36428803379991E-5</v>
          </cell>
          <cell r="J357"/>
          <cell r="K357"/>
        </row>
        <row r="358">
          <cell r="A358" t="str">
            <v>SCOM-SHCONBR6</v>
          </cell>
          <cell r="B358" t="str">
            <v>VAR_cap</v>
          </cell>
          <cell r="C358" t="str">
            <v>-</v>
          </cell>
          <cell r="E358">
            <v>1.7639502124627E-4</v>
          </cell>
          <cell r="F358">
            <v>1.7648543107661203E-4</v>
          </cell>
          <cell r="G358">
            <v>1.7723345607429311E-4</v>
          </cell>
          <cell r="H358">
            <v>1.7823580003465328E-4</v>
          </cell>
          <cell r="I358">
            <v>1.1772286010426299E-4</v>
          </cell>
          <cell r="J358"/>
          <cell r="K358"/>
        </row>
        <row r="359">
          <cell r="A359" t="str">
            <v>RHNM-SHDEM</v>
          </cell>
          <cell r="B359" t="str">
            <v>VAR_fout</v>
          </cell>
          <cell r="C359" t="str">
            <v>RHNM-SHD</v>
          </cell>
          <cell r="D359"/>
          <cell r="E359">
            <v>1.2071502183152301</v>
          </cell>
          <cell r="F359">
            <v>1.4968593234624004</v>
          </cell>
          <cell r="G359">
            <v>2.696036008986781</v>
          </cell>
          <cell r="H359">
            <v>3.8748002610948822</v>
          </cell>
          <cell r="I359">
            <v>4.231832512955271</v>
          </cell>
          <cell r="J359"/>
          <cell r="K359"/>
        </row>
        <row r="360">
          <cell r="A360" t="str">
            <v>RHNM-SHDEM</v>
          </cell>
          <cell r="B360" t="str">
            <v>VAR_fin</v>
          </cell>
          <cell r="C360" t="str">
            <v>RHNM-SHLFO</v>
          </cell>
          <cell r="D360"/>
          <cell r="E360">
            <v>3.3290179255088051E-2</v>
          </cell>
          <cell r="F360">
            <v>0.11524101522860185</v>
          </cell>
          <cell r="G360">
            <v>0.11928294823385482</v>
          </cell>
          <cell r="H360">
            <v>5.1034725697381787E-2</v>
          </cell>
          <cell r="I360"/>
          <cell r="J360"/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RHNM-SHLTHD</v>
          </cell>
          <cell r="D361"/>
          <cell r="E361">
            <v>0.23868225014383554</v>
          </cell>
          <cell r="F361">
            <v>5.5021620108010726E-2</v>
          </cell>
          <cell r="G361">
            <v>0.24902667014367641</v>
          </cell>
          <cell r="H361">
            <v>0.31002561299657305</v>
          </cell>
          <cell r="I361">
            <v>0.3315646780865642</v>
          </cell>
          <cell r="J361"/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RHNM-SHCON</v>
          </cell>
          <cell r="D362"/>
          <cell r="F362">
            <v>3.8999878543333985E-3</v>
          </cell>
          <cell r="G362">
            <v>1.5323440510421858E-2</v>
          </cell>
          <cell r="H362">
            <v>0.20515506843037143</v>
          </cell>
          <cell r="I362">
            <v>0.21418813795997574</v>
          </cell>
          <cell r="J362"/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RHNM-SHELCB</v>
          </cell>
          <cell r="D363"/>
          <cell r="E363">
            <v>0.11661720030481681</v>
          </cell>
          <cell r="F363">
            <v>1.72796037379181E-3</v>
          </cell>
          <cell r="G363">
            <v>1.9186897729185331E-3</v>
          </cell>
          <cell r="H363">
            <v>4.9575609755190004E-3</v>
          </cell>
          <cell r="I363">
            <v>1.598150965719289E-3</v>
          </cell>
          <cell r="J363"/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RHNM-SHWOD</v>
          </cell>
          <cell r="D364"/>
          <cell r="E364">
            <v>6.9427738938395864E-2</v>
          </cell>
          <cell r="F364">
            <v>6.3935055622742843E-3</v>
          </cell>
          <cell r="G364">
            <v>1.2171973515278113E-2</v>
          </cell>
          <cell r="H364">
            <v>1.5935316608593084E-2</v>
          </cell>
          <cell r="I364">
            <v>3.4835313824264293E-3</v>
          </cell>
          <cell r="J364"/>
        </row>
        <row r="365">
          <cell r="A365" t="str">
            <v>RHNM-SHDEM</v>
          </cell>
          <cell r="B365" t="str">
            <v>VAR_fin</v>
          </cell>
          <cell r="C365" t="str">
            <v>RHNM-SHELCH</v>
          </cell>
          <cell r="D365"/>
          <cell r="E365">
            <v>3.3466215939594493E-2</v>
          </cell>
          <cell r="F365">
            <v>0.99893347129473276</v>
          </cell>
          <cell r="G365">
            <v>1.5710495837901264</v>
          </cell>
          <cell r="H365">
            <v>2.2346895455378619</v>
          </cell>
          <cell r="I365">
            <v>2.6722240736778415</v>
          </cell>
          <cell r="J365"/>
        </row>
        <row r="366">
          <cell r="A366" t="str">
            <v>RHNM-SHDEM</v>
          </cell>
          <cell r="B366" t="str">
            <v>VAR_fin</v>
          </cell>
          <cell r="C366" t="str">
            <v>RHNM-SHNST</v>
          </cell>
          <cell r="D366"/>
          <cell r="E366">
            <v>1.2397208546013477E-2</v>
          </cell>
          <cell r="F366">
            <v>5.1844232302411126E-5</v>
          </cell>
          <cell r="G366">
            <v>9.8129762044346199E-5</v>
          </cell>
          <cell r="H366">
            <v>1.9743596477639295E-3</v>
          </cell>
          <cell r="I366">
            <v>1.4251696633412096E-4</v>
          </cell>
          <cell r="J366"/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RHNM-SHPLT</v>
          </cell>
          <cell r="D367"/>
          <cell r="E367">
            <v>6.4812762335909019E-2</v>
          </cell>
          <cell r="F367">
            <v>7.1064496049004399E-5</v>
          </cell>
          <cell r="G367">
            <v>1.4883417989711156E-4</v>
          </cell>
          <cell r="H367"/>
          <cell r="I367">
            <v>6.3552927312960303E-6</v>
          </cell>
          <cell r="J367"/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RHNM-SHLTHC-NGA</v>
          </cell>
          <cell r="D368"/>
          <cell r="E368">
            <v>3.3763048804592161E-2</v>
          </cell>
          <cell r="F368">
            <v>2.1855711990220961E-4</v>
          </cell>
          <cell r="G368">
            <v>2.7401033010460136E-5</v>
          </cell>
          <cell r="H368">
            <v>2.1079617691152922E-5</v>
          </cell>
          <cell r="I368">
            <v>3.6597103882750099E-6</v>
          </cell>
          <cell r="J368"/>
        </row>
        <row r="369">
          <cell r="A369" t="str">
            <v>RHNM-SHDEM</v>
          </cell>
          <cell r="B369" t="str">
            <v>VAR_fin</v>
          </cell>
          <cell r="C369" t="str">
            <v>RHNM-SHSOL</v>
          </cell>
          <cell r="E369">
            <v>4.0066359777716137E-2</v>
          </cell>
          <cell r="F369">
            <v>9.6664905861230585E-4</v>
          </cell>
          <cell r="G369">
            <v>6.7386701885946627E-4</v>
          </cell>
          <cell r="H369">
            <v>4.0353586756051406E-3</v>
          </cell>
          <cell r="I369">
            <v>1.2591022181393016E-3</v>
          </cell>
          <cell r="J369"/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RHNM-SHLTHC-WOD</v>
          </cell>
          <cell r="F370">
            <v>2.5326656417329021E-4</v>
          </cell>
          <cell r="G370">
            <v>8.1170767755745911E-5</v>
          </cell>
          <cell r="H370"/>
          <cell r="I370"/>
          <cell r="J370"/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RHNM-SHNGAH</v>
          </cell>
          <cell r="E371">
            <v>9.3630880610302628E-3</v>
          </cell>
          <cell r="F371">
            <v>0.30241085968186271</v>
          </cell>
          <cell r="G371">
            <v>0.71032014649126152</v>
          </cell>
          <cell r="H371">
            <v>1.0473261781982117</v>
          </cell>
          <cell r="I371">
            <v>1.0073097299048674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</v>
          </cell>
          <cell r="E372">
            <v>0.55563430542335124</v>
          </cell>
          <cell r="F372">
            <v>1.2327760421390414E-2</v>
          </cell>
          <cell r="G372">
            <v>1.6421774500778252E-2</v>
          </cell>
          <cell r="H372">
            <v>6.4896213346492555E-5</v>
          </cell>
          <cell r="I372">
            <v>3.6512663631098683E-4</v>
          </cell>
          <cell r="J372"/>
          <cell r="K372"/>
        </row>
        <row r="373">
          <cell r="A373" t="str">
            <v>SCOM-STG-ELCSPEC</v>
          </cell>
          <cell r="B373" t="str">
            <v>VAR_fout</v>
          </cell>
          <cell r="C373" t="str">
            <v>SCOM-ELS</v>
          </cell>
          <cell r="D373"/>
          <cell r="E373">
            <v>2.7454010253735891E-2</v>
          </cell>
          <cell r="F373">
            <v>2.7787759266760494E-2</v>
          </cell>
          <cell r="G373">
            <v>2.806061285301252E-2</v>
          </cell>
          <cell r="H373">
            <v>6.6586123433820824E-2</v>
          </cell>
          <cell r="I373">
            <v>1.2389591433370009</v>
          </cell>
          <cell r="J373"/>
        </row>
        <row r="374">
          <cell r="A374" t="str">
            <v>SCOM-STG-ELCSPEC</v>
          </cell>
          <cell r="B374" t="str">
            <v>VAR_fin</v>
          </cell>
          <cell r="C374" t="str">
            <v>SCOM-ELS</v>
          </cell>
          <cell r="E374">
            <v>2.7457454624389456E-2</v>
          </cell>
          <cell r="F374">
            <v>2.7790977034081545E-2</v>
          </cell>
          <cell r="G374">
            <v>2.806410254433258E-2</v>
          </cell>
          <cell r="H374">
            <v>6.6589628232030851E-2</v>
          </cell>
          <cell r="I374">
            <v>1.2389608957358729</v>
          </cell>
          <cell r="J374"/>
          <cell r="K374"/>
        </row>
        <row r="375">
          <cell r="A375" t="str">
            <v>SCOM-STG-ELCSPEC</v>
          </cell>
          <cell r="B375" t="str">
            <v>VAR_ncap</v>
          </cell>
          <cell r="C375" t="str">
            <v>-</v>
          </cell>
          <cell r="E375">
            <v>1.04137641474736E-3</v>
          </cell>
          <cell r="F375">
            <v>1.11121354863635E-5</v>
          </cell>
          <cell r="G375">
            <v>5.9531716690462104E-6</v>
          </cell>
          <cell r="H375">
            <v>1.6207741775468099E-3</v>
          </cell>
          <cell r="I375">
            <v>5.25673043497367E-2</v>
          </cell>
          <cell r="J375"/>
          <cell r="K375"/>
        </row>
        <row r="376">
          <cell r="A376" t="str">
            <v>SCOM-STG-ELCSPEC</v>
          </cell>
          <cell r="B376" t="str">
            <v>VAR_cap</v>
          </cell>
          <cell r="C376" t="str">
            <v>-</v>
          </cell>
          <cell r="E376">
            <v>1.04137641474736E-3</v>
          </cell>
          <cell r="F376">
            <v>1.051729283158824E-3</v>
          </cell>
          <cell r="G376">
            <v>1.0560387912471614E-3</v>
          </cell>
          <cell r="H376">
            <v>2.3623919280414333E-3</v>
          </cell>
          <cell r="I376">
            <v>5.434010225742357E-2</v>
          </cell>
          <cell r="J376"/>
          <cell r="K376"/>
        </row>
        <row r="377">
          <cell r="A377" t="str">
            <v>RHNS-SHCONBR3</v>
          </cell>
          <cell r="B377" t="str">
            <v>VAR_ncap</v>
          </cell>
          <cell r="C377" t="str">
            <v>-</v>
          </cell>
          <cell r="D377"/>
          <cell r="F377">
            <v>375</v>
          </cell>
          <cell r="G377">
            <v>3.27852967417819</v>
          </cell>
          <cell r="H377"/>
          <cell r="I377"/>
          <cell r="J377"/>
          <cell r="K377"/>
        </row>
        <row r="378">
          <cell r="A378" t="str">
            <v>RHNS-SHCONBR3</v>
          </cell>
          <cell r="B378" t="str">
            <v>VAR_cap</v>
          </cell>
          <cell r="C378" t="str">
            <v>-</v>
          </cell>
          <cell r="F378">
            <v>375</v>
          </cell>
          <cell r="G378">
            <v>7.983150424872008</v>
          </cell>
          <cell r="H378">
            <v>4.3690599867030073</v>
          </cell>
          <cell r="I378">
            <v>1.9630166241439611</v>
          </cell>
          <cell r="J378"/>
          <cell r="K378"/>
        </row>
        <row r="379">
          <cell r="A379" t="str">
            <v>SCOM-SHCONBR7</v>
          </cell>
          <cell r="B379" t="str">
            <v>VAR_fout</v>
          </cell>
          <cell r="C379" t="str">
            <v>SCOM-SHCON</v>
          </cell>
          <cell r="D379"/>
          <cell r="E379">
            <v>1.2198081567974717E-3</v>
          </cell>
          <cell r="F379">
            <v>6.6395087184153078E-4</v>
          </cell>
          <cell r="G379">
            <v>6.6354677633296698E-4</v>
          </cell>
          <cell r="H379">
            <v>1.05784153019858E-3</v>
          </cell>
          <cell r="I379">
            <v>6.722824500803589E-4</v>
          </cell>
          <cell r="J379"/>
          <cell r="K379"/>
        </row>
        <row r="380">
          <cell r="A380" t="str">
            <v>SCOM-SHCONBR7</v>
          </cell>
          <cell r="B380" t="str">
            <v>VAR_fin</v>
          </cell>
          <cell r="C380" t="str">
            <v>CON</v>
          </cell>
          <cell r="E380">
            <v>1.2198081567974717E-3</v>
          </cell>
          <cell r="F380">
            <v>6.6395087184153078E-4</v>
          </cell>
          <cell r="G380">
            <v>6.6354677633296698E-4</v>
          </cell>
          <cell r="H380">
            <v>1.05784153019858E-3</v>
          </cell>
          <cell r="I380">
            <v>6.722824500803589E-4</v>
          </cell>
          <cell r="J380"/>
          <cell r="K380"/>
        </row>
        <row r="381">
          <cell r="A381" t="str">
            <v>SCOM-SHCONBR7</v>
          </cell>
          <cell r="B381" t="str">
            <v>VAR_ncap</v>
          </cell>
          <cell r="C381" t="str">
            <v>-</v>
          </cell>
          <cell r="E381">
            <v>1.0158238563996001E-4</v>
          </cell>
          <cell r="F381">
            <v>4.2495017077937702E-7</v>
          </cell>
          <cell r="G381">
            <v>1.0003495496534099E-6</v>
          </cell>
          <cell r="H381"/>
          <cell r="I381">
            <v>6.7818558007101802E-7</v>
          </cell>
          <cell r="J381"/>
          <cell r="K381"/>
        </row>
        <row r="382">
          <cell r="A382" t="str">
            <v>SCOM-SHCONBR7</v>
          </cell>
          <cell r="B382" t="str">
            <v>VAR_cap</v>
          </cell>
          <cell r="C382" t="str">
            <v>-</v>
          </cell>
          <cell r="D382"/>
          <cell r="E382">
            <v>1.0158238563996001E-4</v>
          </cell>
          <cell r="F382">
            <v>1.0176566748611964E-4</v>
          </cell>
          <cell r="G382">
            <v>1.0243977674937227E-4</v>
          </cell>
          <cell r="H382">
            <v>1.0259215329848191E-4</v>
          </cell>
          <cell r="I382">
            <v>6.0625469799796935E-5</v>
          </cell>
          <cell r="J382"/>
          <cell r="K382"/>
        </row>
        <row r="383">
          <cell r="A383" t="str">
            <v>RHNS-SHCONBR4</v>
          </cell>
          <cell r="B383" t="str">
            <v>VAR_ncap</v>
          </cell>
          <cell r="C383" t="str">
            <v>-</v>
          </cell>
          <cell r="F383">
            <v>375</v>
          </cell>
          <cell r="G383">
            <v>3.2785296741780998</v>
          </cell>
          <cell r="H383"/>
          <cell r="I383"/>
          <cell r="J383"/>
          <cell r="K383"/>
        </row>
        <row r="384">
          <cell r="A384" t="str">
            <v>RHNS-SHCONBR4</v>
          </cell>
          <cell r="B384" t="str">
            <v>VAR_cap</v>
          </cell>
          <cell r="C384" t="str">
            <v>-</v>
          </cell>
          <cell r="F384">
            <v>375</v>
          </cell>
          <cell r="G384">
            <v>7.9831504248730312</v>
          </cell>
          <cell r="H384">
            <v>4.3690599867030073</v>
          </cell>
          <cell r="I384">
            <v>1.9630166241439611</v>
          </cell>
          <cell r="J384"/>
          <cell r="K384"/>
        </row>
        <row r="385">
          <cell r="A385" t="str">
            <v>SCOM-SHCONBR8</v>
          </cell>
          <cell r="B385" t="str">
            <v>VAR_fout</v>
          </cell>
          <cell r="C385" t="str">
            <v>SCOM-SHCON</v>
          </cell>
          <cell r="D385"/>
          <cell r="E385">
            <v>4.0455733014790229E-4</v>
          </cell>
          <cell r="F385">
            <v>2.5825126832369684E-4</v>
          </cell>
          <cell r="G385">
            <v>2.3635432332166722E-4</v>
          </cell>
          <cell r="H385">
            <v>3.065545560388808E-4</v>
          </cell>
          <cell r="I385">
            <v>2.0769856495986324E-4</v>
          </cell>
          <cell r="J385"/>
          <cell r="K385"/>
        </row>
        <row r="386">
          <cell r="A386" t="str">
            <v>SCOM-SHCONBR8</v>
          </cell>
          <cell r="B386" t="str">
            <v>VAR_fin</v>
          </cell>
          <cell r="C386" t="str">
            <v>CON</v>
          </cell>
          <cell r="D386"/>
          <cell r="E386">
            <v>4.0455733014790229E-4</v>
          </cell>
          <cell r="F386">
            <v>2.5825126832369684E-4</v>
          </cell>
          <cell r="G386">
            <v>2.3635432332166722E-4</v>
          </cell>
          <cell r="H386">
            <v>3.065545560388808E-4</v>
          </cell>
          <cell r="I386">
            <v>2.0769856495986324E-4</v>
          </cell>
          <cell r="J386"/>
        </row>
        <row r="387">
          <cell r="A387" t="str">
            <v>SCOM-SHCONBR8</v>
          </cell>
          <cell r="B387" t="str">
            <v>VAR_ncap</v>
          </cell>
          <cell r="C387" t="str">
            <v>-</v>
          </cell>
          <cell r="E387">
            <v>3.1692333882390201E-5</v>
          </cell>
          <cell r="F387">
            <v>3.2327948036641802E-7</v>
          </cell>
          <cell r="G387">
            <v>3.9170665560620099E-7</v>
          </cell>
          <cell r="H387"/>
          <cell r="I387">
            <v>1.35469819607992E-7</v>
          </cell>
          <cell r="J387"/>
        </row>
        <row r="388">
          <cell r="A388" t="str">
            <v>SCOM-SHCONBR8</v>
          </cell>
          <cell r="B388" t="str">
            <v>VAR_cap</v>
          </cell>
          <cell r="C388" t="str">
            <v>-</v>
          </cell>
          <cell r="E388">
            <v>3.1692333882390201E-5</v>
          </cell>
          <cell r="F388">
            <v>3.1897067472993775E-5</v>
          </cell>
          <cell r="G388">
            <v>3.215770574679788E-5</v>
          </cell>
          <cell r="H388">
            <v>3.2110790218864061E-5</v>
          </cell>
          <cell r="I388">
            <v>1.8980678741638189E-5</v>
          </cell>
          <cell r="J388"/>
        </row>
        <row r="389">
          <cell r="A389" t="str">
            <v>ITOT-ELCSPEC</v>
          </cell>
          <cell r="B389" t="str">
            <v>VAR_fout</v>
          </cell>
          <cell r="C389" t="str">
            <v>ITOT-ELS</v>
          </cell>
          <cell r="D389">
            <v>48.063397652170998</v>
          </cell>
          <cell r="E389">
            <v>49.866386100015596</v>
          </cell>
          <cell r="F389">
            <v>51.28389371464538</v>
          </cell>
          <cell r="G389">
            <v>49.521215225841509</v>
          </cell>
          <cell r="H389">
            <v>42.152996202917834</v>
          </cell>
          <cell r="I389">
            <v>39.818070856082166</v>
          </cell>
          <cell r="J389"/>
          <cell r="K389"/>
        </row>
        <row r="390">
          <cell r="A390" t="str">
            <v>ITOT-ELCSPEC</v>
          </cell>
          <cell r="B390" t="str">
            <v>VAR_fin</v>
          </cell>
          <cell r="C390" t="str">
            <v>ITOT_ELC</v>
          </cell>
          <cell r="D390">
            <v>48.063397652170998</v>
          </cell>
          <cell r="E390">
            <v>49.866386100015596</v>
          </cell>
          <cell r="F390">
            <v>51.28389371464538</v>
          </cell>
          <cell r="G390">
            <v>49.521215225841509</v>
          </cell>
          <cell r="H390">
            <v>42.152996202917834</v>
          </cell>
          <cell r="I390">
            <v>39.818070856082166</v>
          </cell>
          <cell r="J390"/>
          <cell r="K390"/>
        </row>
        <row r="391">
          <cell r="A391" t="str">
            <v>ITOT-ELCSPEC</v>
          </cell>
          <cell r="B391" t="str">
            <v>VAR_ncap</v>
          </cell>
          <cell r="C391" t="str">
            <v>-</v>
          </cell>
          <cell r="D391">
            <v>8.3504438881533805E-2</v>
          </cell>
          <cell r="E391">
            <v>9.8049191653638804E-2</v>
          </cell>
          <cell r="F391">
            <v>7.7087053701813804E-2</v>
          </cell>
          <cell r="G391">
            <v>4.1691757663836799E-6</v>
          </cell>
          <cell r="H391">
            <v>1.0745799170661E-5</v>
          </cell>
          <cell r="I391">
            <v>1.9275408827714899</v>
          </cell>
          <cell r="J391"/>
          <cell r="K391"/>
        </row>
        <row r="392">
          <cell r="A392" t="str">
            <v>ITOT-ELCSPEC</v>
          </cell>
          <cell r="B392" t="str">
            <v>VAR_cap</v>
          </cell>
          <cell r="C392" t="str">
            <v>-</v>
          </cell>
          <cell r="D392">
            <v>2.613831670914244</v>
          </cell>
          <cell r="E392">
            <v>2.7118799773646685</v>
          </cell>
          <cell r="F392">
            <v>2.7889649295538899</v>
          </cell>
          <cell r="G392">
            <v>2.6931110318152105</v>
          </cell>
          <cell r="H392">
            <v>2.2924136430917952</v>
          </cell>
          <cell r="I392">
            <v>2.1654207708088213</v>
          </cell>
          <cell r="J392"/>
          <cell r="K392"/>
        </row>
        <row r="393">
          <cell r="A393" t="str">
            <v>RHNM-SHLTHDH</v>
          </cell>
          <cell r="B393" t="str">
            <v>VAR_fout</v>
          </cell>
          <cell r="C393" t="str">
            <v>RHNM-SHLTHD</v>
          </cell>
          <cell r="D393"/>
          <cell r="E393">
            <v>0.34661958200965282</v>
          </cell>
          <cell r="F393">
            <v>5.5859374872431922E-2</v>
          </cell>
          <cell r="G393">
            <v>0.24956521579389251</v>
          </cell>
          <cell r="H393">
            <v>0.31462056084174073</v>
          </cell>
          <cell r="I393">
            <v>0.33276899567124951</v>
          </cell>
          <cell r="J393"/>
          <cell r="K393"/>
        </row>
        <row r="394">
          <cell r="A394" t="str">
            <v>RHNM-SHLTHDH</v>
          </cell>
          <cell r="B394" t="str">
            <v>VAR_fin</v>
          </cell>
          <cell r="C394" t="str">
            <v>RHNMLTHDHC</v>
          </cell>
          <cell r="E394">
            <v>0.34661958200965282</v>
          </cell>
          <cell r="F394">
            <v>5.5859374872431922E-2</v>
          </cell>
          <cell r="G394">
            <v>0.24956521579389251</v>
          </cell>
          <cell r="H394">
            <v>0.31462056084174073</v>
          </cell>
          <cell r="I394">
            <v>0.33276899567124951</v>
          </cell>
          <cell r="J394"/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RHNM_LTH_DH</v>
          </cell>
          <cell r="E395">
            <v>0.35012078990874035</v>
          </cell>
          <cell r="F395">
            <v>6.1803615599253056E-2</v>
          </cell>
          <cell r="G395">
            <v>0.27482468642135083</v>
          </cell>
          <cell r="H395">
            <v>0.34588339447160205</v>
          </cell>
          <cell r="I395">
            <v>0.36583518092313877</v>
          </cell>
          <cell r="J395"/>
          <cell r="K395"/>
        </row>
        <row r="396">
          <cell r="A396" t="str">
            <v>RHNM-SHLTHDH</v>
          </cell>
          <cell r="B396" t="str">
            <v>VAR_ncap</v>
          </cell>
          <cell r="C396" t="str">
            <v>-</v>
          </cell>
          <cell r="D396"/>
          <cell r="E396">
            <v>3.6368506184813298E-2</v>
          </cell>
          <cell r="F396">
            <v>1.7246390789243601E-2</v>
          </cell>
          <cell r="G396">
            <v>9.5086602925736393E-3</v>
          </cell>
          <cell r="H396">
            <v>1.9226786128189399E-2</v>
          </cell>
          <cell r="I396">
            <v>4.7855184635919798E-2</v>
          </cell>
          <cell r="J396"/>
          <cell r="K396"/>
        </row>
        <row r="397">
          <cell r="A397" t="str">
            <v>RHNM-SHLTHDH</v>
          </cell>
          <cell r="B397" t="str">
            <v>VAR_cap</v>
          </cell>
          <cell r="C397" t="str">
            <v>-</v>
          </cell>
          <cell r="E397">
            <v>3.6368506184813298E-2</v>
          </cell>
          <cell r="F397">
            <v>2.6953217094387E-2</v>
          </cell>
          <cell r="G397">
            <v>1.9463251462918205E-2</v>
          </cell>
          <cell r="H397">
            <v>3.2789080994347998E-2</v>
          </cell>
          <cell r="I397">
            <v>6.7072095038858595E-2</v>
          </cell>
          <cell r="J397"/>
        </row>
        <row r="398">
          <cell r="A398" t="str">
            <v>RHNS-SHCONBR5</v>
          </cell>
          <cell r="B398" t="str">
            <v>VAR_ncap</v>
          </cell>
          <cell r="C398" t="str">
            <v>-</v>
          </cell>
          <cell r="F398">
            <v>375</v>
          </cell>
          <cell r="G398">
            <v>3.27852967417819</v>
          </cell>
          <cell r="H398"/>
          <cell r="I398"/>
        </row>
        <row r="399">
          <cell r="A399" t="str">
            <v>RHNS-SHCONBR5</v>
          </cell>
          <cell r="B399" t="str">
            <v>VAR_cap</v>
          </cell>
          <cell r="C399" t="str">
            <v>-</v>
          </cell>
          <cell r="D399"/>
          <cell r="F399">
            <v>375</v>
          </cell>
          <cell r="G399">
            <v>7.983150424872008</v>
          </cell>
          <cell r="H399">
            <v>4.3690599867030073</v>
          </cell>
          <cell r="I399">
            <v>1.9630166241439611</v>
          </cell>
          <cell r="J399"/>
        </row>
        <row r="400">
          <cell r="A400" t="str">
            <v>SCOM-SHCONBR9</v>
          </cell>
          <cell r="B400" t="str">
            <v>VAR_fout</v>
          </cell>
          <cell r="C400" t="str">
            <v>SCOM-SHCON</v>
          </cell>
          <cell r="E400">
            <v>1.4177742539138734E-4</v>
          </cell>
          <cell r="F400">
            <v>1.1576048463807471E-4</v>
          </cell>
          <cell r="G400">
            <v>9.0251522164100275E-5</v>
          </cell>
          <cell r="H400">
            <v>8.9369699811399386E-5</v>
          </cell>
          <cell r="I400">
            <v>6.893611001537896E-5</v>
          </cell>
          <cell r="J400"/>
        </row>
        <row r="401">
          <cell r="A401" t="str">
            <v>SCOM-SHCONBR9</v>
          </cell>
          <cell r="B401" t="str">
            <v>VAR_fin</v>
          </cell>
          <cell r="C401" t="str">
            <v>CON</v>
          </cell>
          <cell r="E401">
            <v>1.4177742539138734E-4</v>
          </cell>
          <cell r="F401">
            <v>1.1576048463807471E-4</v>
          </cell>
          <cell r="G401">
            <v>9.0251522164100275E-5</v>
          </cell>
          <cell r="H401">
            <v>8.9369699811399386E-5</v>
          </cell>
          <cell r="I401">
            <v>6.893611001537896E-5</v>
          </cell>
          <cell r="J401"/>
          <cell r="K401"/>
        </row>
        <row r="402">
          <cell r="A402" t="str">
            <v>SCOM-SHCONBR9</v>
          </cell>
          <cell r="B402" t="str">
            <v>VAR_ncap</v>
          </cell>
          <cell r="C402" t="str">
            <v>-</v>
          </cell>
          <cell r="E402">
            <v>6.2918935269584198E-6</v>
          </cell>
          <cell r="F402">
            <v>2.5621117851081399E-7</v>
          </cell>
          <cell r="G402">
            <v>3.1180134434284E-7</v>
          </cell>
          <cell r="H402"/>
          <cell r="I402">
            <v>5.1422922763933799E-8</v>
          </cell>
          <cell r="J402"/>
          <cell r="K402"/>
        </row>
        <row r="403">
          <cell r="A403" t="str">
            <v>SCOM-SHCONBR9</v>
          </cell>
          <cell r="B403" t="str">
            <v>VAR_cap</v>
          </cell>
          <cell r="C403" t="str">
            <v>-</v>
          </cell>
          <cell r="E403">
            <v>6.2918935269584198E-6</v>
          </cell>
          <cell r="F403">
            <v>6.4869189249613486E-6</v>
          </cell>
          <cell r="G403">
            <v>6.7565947301065677E-6</v>
          </cell>
          <cell r="H403">
            <v>6.7067316785735493E-6</v>
          </cell>
          <cell r="I403">
            <v>4.1283720562743239E-6</v>
          </cell>
          <cell r="J403"/>
          <cell r="K403"/>
        </row>
        <row r="404">
          <cell r="A404" t="str">
            <v>ITOT-SWHCOABR</v>
          </cell>
          <cell r="B404" t="str">
            <v>VAR_fout</v>
          </cell>
          <cell r="C404" t="str">
            <v>ITOT-SWH</v>
          </cell>
          <cell r="D404">
            <v>2.3674463949469944</v>
          </cell>
          <cell r="E404">
            <v>2.3075125820366078</v>
          </cell>
          <cell r="F404">
            <v>0.91307060482731117</v>
          </cell>
          <cell r="G404">
            <v>6.4743468678294389E-5</v>
          </cell>
          <cell r="H404">
            <v>7.879912618713362E-5</v>
          </cell>
          <cell r="I404">
            <v>5.7252417249075424E-6</v>
          </cell>
          <cell r="J404"/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CO2_I</v>
          </cell>
          <cell r="D405">
            <v>330.01846738584402</v>
          </cell>
          <cell r="E405">
            <v>321.180805337528</v>
          </cell>
          <cell r="F405">
            <v>126.803962647928</v>
          </cell>
          <cell r="G405">
            <v>8.9577903678774405E-3</v>
          </cell>
          <cell r="H405">
            <v>1.0821746663033E-2</v>
          </cell>
          <cell r="I405">
            <v>7.8048515867489596E-4</v>
          </cell>
          <cell r="J405"/>
          <cell r="K405"/>
        </row>
        <row r="406">
          <cell r="A406" t="str">
            <v>ITOT-SWHCOABR</v>
          </cell>
          <cell r="B406" t="str">
            <v>VAR_fin</v>
          </cell>
          <cell r="C406" t="str">
            <v>ICOA</v>
          </cell>
          <cell r="D406">
            <v>3.5600697668375831</v>
          </cell>
          <cell r="E406">
            <v>3.4647336066615742</v>
          </cell>
          <cell r="F406">
            <v>1.3678960371944753</v>
          </cell>
          <cell r="G406">
            <v>9.6632042803424385E-5</v>
          </cell>
          <cell r="H406">
            <v>1.1673944620316094E-4</v>
          </cell>
          <cell r="I406">
            <v>8.4194731248640261E-6</v>
          </cell>
          <cell r="J406"/>
          <cell r="K406"/>
        </row>
        <row r="407">
          <cell r="A407" t="str">
            <v>ITOT-SWHCOABR</v>
          </cell>
          <cell r="B407" t="str">
            <v>VAR_ncap</v>
          </cell>
          <cell r="C407" t="str">
            <v>-</v>
          </cell>
          <cell r="E407">
            <v>1.2581401906475099E-5</v>
          </cell>
          <cell r="F407">
            <v>1.0369929209165901E-5</v>
          </cell>
          <cell r="G407">
            <v>1.42800454742127E-5</v>
          </cell>
          <cell r="H407">
            <v>5.9704038729117599E-6</v>
          </cell>
          <cell r="I407">
            <v>2.5558077419247598E-6</v>
          </cell>
          <cell r="K407"/>
        </row>
        <row r="408">
          <cell r="A408" t="str">
            <v>ITOT-SWHCOABR</v>
          </cell>
          <cell r="B408" t="str">
            <v>VAR_cap</v>
          </cell>
          <cell r="C408" t="str">
            <v>-</v>
          </cell>
          <cell r="D408">
            <v>0.26172155007150499</v>
          </cell>
          <cell r="E408">
            <v>0.16080996886809246</v>
          </cell>
          <cell r="F408">
            <v>9.8138242027188627E-2</v>
          </cell>
          <cell r="G408">
            <v>6.4436347648189063E-6</v>
          </cell>
          <cell r="H408">
            <v>6.5569997599649015E-6</v>
          </cell>
          <cell r="I408">
            <v>7.383466736788033E-7</v>
          </cell>
          <cell r="J408"/>
          <cell r="K408"/>
        </row>
        <row r="409">
          <cell r="A409" t="str">
            <v>RHSA-WHDEM</v>
          </cell>
          <cell r="B409" t="str">
            <v>VAR_fout</v>
          </cell>
          <cell r="C409" t="str">
            <v>RHSA-WHD</v>
          </cell>
          <cell r="D409">
            <v>26.438654975424289</v>
          </cell>
          <cell r="E409">
            <v>25.92879146371218</v>
          </cell>
          <cell r="F409">
            <v>21.716848330711084</v>
          </cell>
          <cell r="G409">
            <v>22.105491041636096</v>
          </cell>
          <cell r="H409">
            <v>25.941477994243495</v>
          </cell>
          <cell r="I409">
            <v>26.486994762158204</v>
          </cell>
          <cell r="J409"/>
          <cell r="K409"/>
        </row>
        <row r="410">
          <cell r="A410" t="str">
            <v>RHSA-WHDEM</v>
          </cell>
          <cell r="B410" t="str">
            <v>VAR_fin</v>
          </cell>
          <cell r="C410" t="str">
            <v>RHSA-WHNGA</v>
          </cell>
          <cell r="D410">
            <v>6.198124241242855</v>
          </cell>
          <cell r="E410">
            <v>5.54094175778891</v>
          </cell>
          <cell r="F410">
            <v>5.0881667635487728</v>
          </cell>
          <cell r="G410">
            <v>2.9158498336436574</v>
          </cell>
          <cell r="H410">
            <v>0.77217924693622608</v>
          </cell>
          <cell r="I410">
            <v>0.3358065423056239</v>
          </cell>
          <cell r="J410"/>
        </row>
        <row r="411">
          <cell r="A411" t="str">
            <v>RHSA-WHDEM</v>
          </cell>
          <cell r="B411" t="str">
            <v>VAR_fin</v>
          </cell>
          <cell r="C411" t="str">
            <v>RHSA-WHLFO</v>
          </cell>
          <cell r="D411">
            <v>6.807568617964062</v>
          </cell>
          <cell r="E411">
            <v>5.5418066950713998</v>
          </cell>
          <cell r="F411">
            <v>4.4557324774563076</v>
          </cell>
          <cell r="G411">
            <v>1.8642789593788691</v>
          </cell>
          <cell r="H411">
            <v>0.41658277055926191</v>
          </cell>
          <cell r="I411">
            <v>1.3008047802534159E-2</v>
          </cell>
          <cell r="J411"/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RHSA-WHWOD</v>
          </cell>
          <cell r="D412">
            <v>0.55842096356922477</v>
          </cell>
          <cell r="E412">
            <v>0.59722615495626885</v>
          </cell>
          <cell r="F412">
            <v>1.0960179968383521</v>
          </cell>
          <cell r="G412">
            <v>0.95058693858718657</v>
          </cell>
          <cell r="H412">
            <v>0.66194247103353232</v>
          </cell>
          <cell r="I412">
            <v>0.35971322486250717</v>
          </cell>
          <cell r="J412"/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RHSA-WHNGAH</v>
          </cell>
          <cell r="D413">
            <v>4.5035749692469706E-2</v>
          </cell>
          <cell r="F413">
            <v>0.99111105762334517</v>
          </cell>
          <cell r="G413">
            <v>2.0843747016914778</v>
          </cell>
          <cell r="H413">
            <v>3.5688566583968138</v>
          </cell>
          <cell r="I413">
            <v>3.4220816867099009</v>
          </cell>
          <cell r="J413"/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RHSA-WHNST</v>
          </cell>
          <cell r="D414">
            <v>5.070303367362515E-2</v>
          </cell>
          <cell r="E414">
            <v>8.1892093775868982E-5</v>
          </cell>
          <cell r="F414">
            <v>6.9105501569761457E-6</v>
          </cell>
          <cell r="G414">
            <v>7.5842029643512208E-6</v>
          </cell>
          <cell r="H414">
            <v>8.4738338505557915E-6</v>
          </cell>
          <cell r="I414">
            <v>4.8467451363018715E-6</v>
          </cell>
        </row>
        <row r="415">
          <cell r="A415" t="str">
            <v>RHSA-WHDEM</v>
          </cell>
          <cell r="B415" t="str">
            <v>VAR_fin</v>
          </cell>
          <cell r="C415" t="str">
            <v>RHSA-WHPLT</v>
          </cell>
          <cell r="D415">
            <v>0.27388753956799872</v>
          </cell>
          <cell r="E415">
            <v>0.19482414715610744</v>
          </cell>
          <cell r="F415">
            <v>3.8158878139147499E-2</v>
          </cell>
          <cell r="G415">
            <v>3.4401045762038888E-2</v>
          </cell>
          <cell r="H415">
            <v>2.287443420464914E-2</v>
          </cell>
          <cell r="I415">
            <v>9.0102921409931733E-3</v>
          </cell>
        </row>
        <row r="416">
          <cell r="A416" t="str">
            <v>RHSA-WHDEM</v>
          </cell>
          <cell r="B416" t="str">
            <v>VAR_fin</v>
          </cell>
          <cell r="C416" t="str">
            <v>RHSA-WHLTHRD</v>
          </cell>
          <cell r="D416">
            <v>1.2767695829678773</v>
          </cell>
          <cell r="E416">
            <v>1.4633467047347488</v>
          </cell>
          <cell r="F416">
            <v>0.96341743331895069</v>
          </cell>
          <cell r="G416">
            <v>1.8668986234565594</v>
          </cell>
          <cell r="H416">
            <v>2.1876690841575872</v>
          </cell>
          <cell r="I416">
            <v>2.0933043379974774</v>
          </cell>
          <cell r="J416"/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RHSA-WHELCB</v>
          </cell>
          <cell r="D417">
            <v>6.4529270606592757</v>
          </cell>
          <cell r="E417">
            <v>6.9686815305550063</v>
          </cell>
          <cell r="F417">
            <v>2.8153297570973974</v>
          </cell>
          <cell r="G417">
            <v>1.9200192745546747</v>
          </cell>
          <cell r="H417">
            <v>1.5906177780785702</v>
          </cell>
          <cell r="I417">
            <v>1.3727089085820199</v>
          </cell>
          <cell r="J417"/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RHSA-WHSOL</v>
          </cell>
          <cell r="D418">
            <v>1.6636921931357194</v>
          </cell>
          <cell r="E418">
            <v>1.9867637659414694</v>
          </cell>
          <cell r="F418">
            <v>1.0139289634233373</v>
          </cell>
          <cell r="G418">
            <v>1.5120904857518411</v>
          </cell>
          <cell r="H418">
            <v>2.0811476543767684</v>
          </cell>
          <cell r="I418">
            <v>2.3539162755272534</v>
          </cell>
        </row>
        <row r="419">
          <cell r="A419" t="str">
            <v>RHSA-WHDEM</v>
          </cell>
          <cell r="B419" t="str">
            <v>VAR_fin</v>
          </cell>
          <cell r="C419" t="str">
            <v>RHSA-WHELCH</v>
          </cell>
          <cell r="D419">
            <v>3.1117843150136291</v>
          </cell>
          <cell r="E419">
            <v>3.6354294613612157</v>
          </cell>
          <cell r="F419">
            <v>5.2553331714248088</v>
          </cell>
          <cell r="G419">
            <v>8.957319444054459</v>
          </cell>
          <cell r="H419">
            <v>14.639851116863895</v>
          </cell>
          <cell r="I419">
            <v>16.527673978032187</v>
          </cell>
        </row>
        <row r="420">
          <cell r="A420" t="str">
            <v>RHSA-WHNGAHP</v>
          </cell>
          <cell r="B420" t="str">
            <v>VAR_fout</v>
          </cell>
          <cell r="C420" t="str">
            <v>RHSA-WHANGAH</v>
          </cell>
          <cell r="F420">
            <v>0.99111203541336712</v>
          </cell>
          <cell r="G420">
            <v>2.0843715712242741</v>
          </cell>
          <cell r="H420">
            <v>3.5688439836980739</v>
          </cell>
          <cell r="I420">
            <v>3.422077038962998</v>
          </cell>
          <cell r="J420"/>
          <cell r="K420"/>
        </row>
        <row r="421">
          <cell r="A421" t="str">
            <v>RHSA-WHNGAHP</v>
          </cell>
          <cell r="B421" t="str">
            <v>VAR_fout</v>
          </cell>
          <cell r="C421" t="str">
            <v>CO2_R</v>
          </cell>
          <cell r="F421">
            <v>27.684992726649501</v>
          </cell>
          <cell r="G421">
            <v>50.5844244660044</v>
          </cell>
          <cell r="H421">
            <v>75.607768408967999</v>
          </cell>
          <cell r="I421">
            <v>59.815406496799802</v>
          </cell>
          <cell r="J421"/>
          <cell r="K421"/>
        </row>
        <row r="422">
          <cell r="A422" t="str">
            <v>RHSA-WHNGAHP</v>
          </cell>
          <cell r="B422" t="str">
            <v>VAR_fin</v>
          </cell>
          <cell r="C422" t="str">
            <v>RNGA</v>
          </cell>
          <cell r="F422">
            <v>0.49086866536612572</v>
          </cell>
          <cell r="G422">
            <v>0.89688695861709855</v>
          </cell>
          <cell r="H422">
            <v>1.3405632696625547</v>
          </cell>
          <cell r="I422">
            <v>1.0605568527801383</v>
          </cell>
        </row>
        <row r="423">
          <cell r="A423" t="str">
            <v>RHSA-WHNGAHP</v>
          </cell>
          <cell r="B423" t="str">
            <v>VAR_ncap</v>
          </cell>
          <cell r="C423" t="str">
            <v>-</v>
          </cell>
          <cell r="E423">
            <v>8.3276217247444104E-7</v>
          </cell>
          <cell r="F423">
            <v>6.5688059663025197E-2</v>
          </cell>
          <cell r="G423">
            <v>7.6791795377177896E-2</v>
          </cell>
          <cell r="H423">
            <v>0.13343638627076701</v>
          </cell>
          <cell r="I423">
            <v>0.12212757514632</v>
          </cell>
        </row>
        <row r="424">
          <cell r="A424" t="str">
            <v>RHSA-WHNGAHP</v>
          </cell>
          <cell r="B424" t="str">
            <v>VAR_cap</v>
          </cell>
          <cell r="C424" t="str">
            <v>-</v>
          </cell>
          <cell r="D424">
            <v>4.7729432218241499E-11</v>
          </cell>
          <cell r="E424">
            <v>-6.2536002530871632E-8</v>
          </cell>
          <cell r="F424">
            <v>6.5688078305429276E-2</v>
          </cell>
          <cell r="G424">
            <v>0.14247992734698867</v>
          </cell>
          <cell r="H424">
            <v>0.25237760442121626</v>
          </cell>
          <cell r="I424">
            <v>0.24217179207800657</v>
          </cell>
          <cell r="J424"/>
          <cell r="K424"/>
        </row>
        <row r="425">
          <cell r="A425" t="str">
            <v>SCOM-SHSTG-ELCHP</v>
          </cell>
          <cell r="B425" t="str">
            <v>VAR_fout</v>
          </cell>
          <cell r="C425" t="str">
            <v>SCOM-SHAELCH</v>
          </cell>
          <cell r="D425">
            <v>7.7448241239580078E-5</v>
          </cell>
          <cell r="E425">
            <v>7.4839261858070742E-5</v>
          </cell>
          <cell r="F425">
            <v>8.6901350890763847E-5</v>
          </cell>
          <cell r="G425">
            <v>6.9064154556332415E-5</v>
          </cell>
          <cell r="H425">
            <v>7.8910575421581194E-5</v>
          </cell>
          <cell r="I425">
            <v>2.6208415976812712E-5</v>
          </cell>
          <cell r="J425"/>
          <cell r="K425"/>
        </row>
        <row r="426">
          <cell r="A426" t="str">
            <v>SCOM-SHSTG-ELCHP</v>
          </cell>
          <cell r="B426" t="str">
            <v>VAR_fin</v>
          </cell>
          <cell r="C426" t="str">
            <v>SCOM-SHAELCH</v>
          </cell>
          <cell r="D426">
            <v>9.6382216371876958E-5</v>
          </cell>
          <cell r="E426">
            <v>8.5474513200402098E-5</v>
          </cell>
          <cell r="F426">
            <v>9.4347772319985115E-5</v>
          </cell>
          <cell r="G426">
            <v>7.8647842827488662E-5</v>
          </cell>
          <cell r="H426">
            <v>9.4728073309007876E-5</v>
          </cell>
          <cell r="I426">
            <v>2.5251005843250555E-5</v>
          </cell>
        </row>
        <row r="427">
          <cell r="A427" t="str">
            <v>SCOM-SHSTG-ELCHP</v>
          </cell>
          <cell r="B427" t="str">
            <v>VAR_ncap</v>
          </cell>
          <cell r="C427" t="str">
            <v>-</v>
          </cell>
          <cell r="D427">
            <v>2.7021570608207701E-2</v>
          </cell>
          <cell r="E427">
            <v>7.4485629278661494E-2</v>
          </cell>
          <cell r="F427">
            <v>1.3624958412023399E-2</v>
          </cell>
          <cell r="G427">
            <v>0.141485896853139</v>
          </cell>
          <cell r="H427">
            <v>0.21754847618574</v>
          </cell>
          <cell r="I427">
            <v>0.23293208367191601</v>
          </cell>
        </row>
        <row r="428">
          <cell r="A428" t="str">
            <v>SCOM-SHSTG-ELCHP</v>
          </cell>
          <cell r="B428" t="str">
            <v>VAR_cap</v>
          </cell>
          <cell r="C428" t="str">
            <v>-</v>
          </cell>
          <cell r="D428">
            <v>2.7021570608207701E-2</v>
          </cell>
          <cell r="E428">
            <v>0.10132158148892063</v>
          </cell>
          <cell r="F428">
            <v>0.1148797225627939</v>
          </cell>
          <cell r="G428">
            <v>0.2563141938293475</v>
          </cell>
          <cell r="H428">
            <v>0.45418351535640661</v>
          </cell>
          <cell r="I428">
            <v>0.44896182862347744</v>
          </cell>
          <cell r="J428"/>
          <cell r="K428"/>
        </row>
        <row r="429">
          <cell r="A429" t="str">
            <v>RHEM-SHLFOBR</v>
          </cell>
          <cell r="B429" t="str">
            <v>VAR_fout</v>
          </cell>
          <cell r="C429" t="str">
            <v>CO2_R</v>
          </cell>
          <cell r="D429">
            <v>1928.7134487626299</v>
          </cell>
          <cell r="E429">
            <v>1544.3127115945699</v>
          </cell>
          <cell r="F429">
            <v>1694.91650379521</v>
          </cell>
          <cell r="G429">
            <v>790.62725555720101</v>
          </cell>
          <cell r="H429">
            <v>114.57294587568001</v>
          </cell>
          <cell r="I429">
            <v>6.0687130273478198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RHEM-SHLFO</v>
          </cell>
          <cell r="D430">
            <v>23.443769305968157</v>
          </cell>
          <cell r="E430">
            <v>18.771327057487166</v>
          </cell>
          <cell r="F430">
            <v>19.703883294447113</v>
          </cell>
          <cell r="G430">
            <v>9.3519081113462903</v>
          </cell>
          <cell r="H430">
            <v>1.355222267312902</v>
          </cell>
          <cell r="I430">
            <v>7.1783569548066084E-2</v>
          </cell>
          <cell r="K430"/>
        </row>
        <row r="431">
          <cell r="A431" t="str">
            <v>RHEM-SHLFOBR</v>
          </cell>
          <cell r="B431" t="str">
            <v>VAR_fin</v>
          </cell>
          <cell r="C431" t="str">
            <v>RLFO</v>
          </cell>
          <cell r="D431">
            <v>26.169788992708629</v>
          </cell>
          <cell r="E431">
            <v>20.954039506032192</v>
          </cell>
          <cell r="F431">
            <v>22.997510227886206</v>
          </cell>
          <cell r="G431">
            <v>10.727642544873833</v>
          </cell>
          <cell r="H431">
            <v>1.554585425721569</v>
          </cell>
          <cell r="I431">
            <v>8.2343460343932418E-2</v>
          </cell>
          <cell r="K431"/>
        </row>
        <row r="432">
          <cell r="A432" t="str">
            <v>RHEM-SHLFOBR</v>
          </cell>
          <cell r="B432" t="str">
            <v>VAR_ncap</v>
          </cell>
          <cell r="C432" t="str">
            <v>-</v>
          </cell>
          <cell r="E432">
            <v>5.9373635088549805E-7</v>
          </cell>
          <cell r="F432">
            <v>7.0375987015056302E-7</v>
          </cell>
          <cell r="G432">
            <v>7.35058434895777E-7</v>
          </cell>
          <cell r="H432">
            <v>6.9627297657999201E-2</v>
          </cell>
          <cell r="I432">
            <v>3.8116973000121702E-7</v>
          </cell>
          <cell r="K432"/>
        </row>
        <row r="433">
          <cell r="A433" t="str">
            <v>RHEM-SHLFOBR</v>
          </cell>
          <cell r="B433" t="str">
            <v>VAR_cap</v>
          </cell>
          <cell r="C433" t="str">
            <v>-</v>
          </cell>
          <cell r="D433">
            <v>1.65587464377338</v>
          </cell>
          <cell r="E433">
            <v>1.4506512689001019</v>
          </cell>
          <cell r="F433">
            <v>1.450285711276676</v>
          </cell>
          <cell r="G433">
            <v>1.4498486396240908</v>
          </cell>
          <cell r="H433">
            <v>9.5796527180920008E-2</v>
          </cell>
          <cell r="I433">
            <v>8.8158981301875022E-3</v>
          </cell>
          <cell r="K433"/>
        </row>
        <row r="434">
          <cell r="A434" t="str">
            <v>RHES-SHNGAHP</v>
          </cell>
          <cell r="B434" t="str">
            <v>VAR_fout</v>
          </cell>
          <cell r="C434" t="str">
            <v>RHES-SHANGAH</v>
          </cell>
          <cell r="F434">
            <v>1.6276731275913427</v>
          </cell>
          <cell r="G434">
            <v>1.5931902370896582</v>
          </cell>
          <cell r="H434">
            <v>1.3534803306195027</v>
          </cell>
          <cell r="I434">
            <v>0.96662348504577067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CO2_R</v>
          </cell>
          <cell r="F435">
            <v>51.033934005612799</v>
          </cell>
          <cell r="G435">
            <v>48.479622761360602</v>
          </cell>
          <cell r="H435">
            <v>38.238770523191803</v>
          </cell>
          <cell r="I435">
            <v>25.548639377334901</v>
          </cell>
          <cell r="J435"/>
          <cell r="K435"/>
        </row>
        <row r="436">
          <cell r="A436" t="str">
            <v>RHES-SHNGAHP</v>
          </cell>
          <cell r="B436" t="str">
            <v>VAR_fin</v>
          </cell>
          <cell r="C436" t="str">
            <v>RHESELCHPC</v>
          </cell>
          <cell r="F436">
            <v>1.6276731275913427</v>
          </cell>
          <cell r="G436">
            <v>1.5931902370896582</v>
          </cell>
          <cell r="H436">
            <v>1.3534803306195027</v>
          </cell>
          <cell r="I436">
            <v>0.96662348504577067</v>
          </cell>
          <cell r="J436"/>
          <cell r="K436"/>
        </row>
        <row r="437">
          <cell r="A437" t="str">
            <v>RHES-SHNGAHP</v>
          </cell>
          <cell r="B437" t="str">
            <v>VAR_fin</v>
          </cell>
          <cell r="C437" t="str">
            <v>RNGA</v>
          </cell>
          <cell r="F437">
            <v>0.90485698591512043</v>
          </cell>
          <cell r="G437">
            <v>0.85956777945674745</v>
          </cell>
          <cell r="H437">
            <v>0.67799238516297489</v>
          </cell>
          <cell r="I437">
            <v>0.45299005988182456</v>
          </cell>
          <cell r="J437"/>
          <cell r="K437"/>
        </row>
        <row r="438">
          <cell r="A438" t="str">
            <v>RHES-SHNGAHP</v>
          </cell>
          <cell r="B438" t="str">
            <v>VAR_ncap</v>
          </cell>
          <cell r="C438" t="str">
            <v>-</v>
          </cell>
          <cell r="E438">
            <v>1.3594722056489801E-6</v>
          </cell>
          <cell r="F438">
            <v>0.13149712292867899</v>
          </cell>
          <cell r="G438">
            <v>2.4240176320285602E-7</v>
          </cell>
          <cell r="H438">
            <v>8.6099268110918906E-2</v>
          </cell>
          <cell r="I438">
            <v>1.57593385631969E-2</v>
          </cell>
          <cell r="J438"/>
          <cell r="K438"/>
        </row>
        <row r="439">
          <cell r="A439" t="str">
            <v>RHES-SHNGAHP</v>
          </cell>
          <cell r="B439" t="str">
            <v>VAR_cap</v>
          </cell>
          <cell r="C439" t="str">
            <v>-</v>
          </cell>
          <cell r="E439">
            <v>1.3594722056489801E-6</v>
          </cell>
          <cell r="F439">
            <v>0.13149831727177055</v>
          </cell>
          <cell r="G439">
            <v>0.13149377498672188</v>
          </cell>
          <cell r="H439">
            <v>0.10939082893240358</v>
          </cell>
          <cell r="I439">
            <v>7.824462773824499E-2</v>
          </cell>
          <cell r="K439"/>
        </row>
        <row r="440">
          <cell r="A440" t="str">
            <v>D-RHES_LTH_CHPWOD</v>
          </cell>
          <cell r="B440" t="str">
            <v>VAR_fout</v>
          </cell>
          <cell r="C440" t="str">
            <v>RHES_LTH_CHPWOD_ON</v>
          </cell>
          <cell r="D440">
            <v>9.1237834390319893E-5</v>
          </cell>
          <cell r="E440">
            <v>1.3637930717344283E-4</v>
          </cell>
          <cell r="F440">
            <v>2.2718971696822379E-5</v>
          </cell>
          <cell r="G440">
            <v>3.991056293637526E-4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RHSA_LTH</v>
          </cell>
          <cell r="D441">
            <v>1.0683634690517146E-4</v>
          </cell>
          <cell r="E441">
            <v>9.8273355489903288E-5</v>
          </cell>
          <cell r="F441">
            <v>5.1628422349888706E-5</v>
          </cell>
          <cell r="G441">
            <v>4.2356264897045235E-4</v>
          </cell>
          <cell r="H441">
            <v>6.6222990341769717E-4</v>
          </cell>
          <cell r="I441">
            <v>7.4539137949185068E-4</v>
          </cell>
        </row>
        <row r="442">
          <cell r="A442" t="str">
            <v>D-RHES_LTH_CHPWOD</v>
          </cell>
          <cell r="B442" t="str">
            <v>VAR_fout</v>
          </cell>
          <cell r="C442" t="str">
            <v>LTH</v>
          </cell>
          <cell r="E442">
            <v>3.7884498262171116E-6</v>
          </cell>
          <cell r="F442">
            <v>2.1638455749864388E-6</v>
          </cell>
          <cell r="I442">
            <v>4.7461452932906754E-7</v>
          </cell>
          <cell r="K442"/>
        </row>
        <row r="443">
          <cell r="A443" t="str">
            <v>D-RHES_LTH_CHPWOD</v>
          </cell>
          <cell r="B443" t="str">
            <v>VAR_fin</v>
          </cell>
          <cell r="C443" t="str">
            <v>RHES_LTH_CHPWOD</v>
          </cell>
          <cell r="D443">
            <v>1.9807418129549133E-4</v>
          </cell>
          <cell r="E443">
            <v>2.3844111248956333E-4</v>
          </cell>
          <cell r="F443">
            <v>7.6511239621697525E-5</v>
          </cell>
          <cell r="G443">
            <v>8.2351607833401088E-4</v>
          </cell>
          <cell r="H443">
            <v>6.6361088233000921E-4</v>
          </cell>
          <cell r="I443">
            <v>7.4721272485243787E-4</v>
          </cell>
          <cell r="J443"/>
          <cell r="K443"/>
        </row>
        <row r="444">
          <cell r="A444" t="str">
            <v>ITOT-SWHCONBR</v>
          </cell>
          <cell r="B444" t="str">
            <v>VAR_ncap</v>
          </cell>
          <cell r="C444" t="str">
            <v>-</v>
          </cell>
          <cell r="I444">
            <v>1.0936342534492801E-8</v>
          </cell>
        </row>
        <row r="445">
          <cell r="A445" t="str">
            <v>ITOT-SWHCONBR</v>
          </cell>
          <cell r="B445" t="str">
            <v>VAR_cap</v>
          </cell>
          <cell r="C445" t="str">
            <v>-</v>
          </cell>
          <cell r="I445">
            <v>1.0936342534492801E-8</v>
          </cell>
        </row>
        <row r="446">
          <cell r="A446" t="str">
            <v>ITOT-SWHSOLBR</v>
          </cell>
          <cell r="B446" t="str">
            <v>VAR_fout</v>
          </cell>
          <cell r="C446" t="str">
            <v>ITOT-SWHASOL</v>
          </cell>
          <cell r="D446">
            <v>6.7733905891750074E-2</v>
          </cell>
          <cell r="E446">
            <v>8.5512491860011752E-2</v>
          </cell>
          <cell r="F446">
            <v>8.6919081944357685E-2</v>
          </cell>
          <cell r="G446">
            <v>2.3297828556720694</v>
          </cell>
          <cell r="H446">
            <v>2.3466738001341261</v>
          </cell>
          <cell r="I446">
            <v>2.3649467320251465</v>
          </cell>
          <cell r="J446"/>
          <cell r="K446"/>
        </row>
        <row r="447">
          <cell r="A447" t="str">
            <v>ITOT-SWHSOLBR</v>
          </cell>
          <cell r="B447" t="str">
            <v>VAR_fin</v>
          </cell>
          <cell r="C447" t="str">
            <v>SOL</v>
          </cell>
          <cell r="D447">
            <v>6.7733905891750074E-2</v>
          </cell>
          <cell r="E447">
            <v>8.5512491860011752E-2</v>
          </cell>
          <cell r="F447">
            <v>8.6919081944357685E-2</v>
          </cell>
          <cell r="G447">
            <v>2.3297828556720694</v>
          </cell>
          <cell r="H447">
            <v>2.3466738001341261</v>
          </cell>
          <cell r="I447">
            <v>2.3649467320251465</v>
          </cell>
        </row>
        <row r="448">
          <cell r="A448" t="str">
            <v>ITOT-SWHSOLBR</v>
          </cell>
          <cell r="B448" t="str">
            <v>VAR_ncap</v>
          </cell>
          <cell r="C448" t="str">
            <v>-</v>
          </cell>
          <cell r="E448">
            <v>9.0732797429993003E-2</v>
          </cell>
          <cell r="F448">
            <v>3.4863070229186698E-7</v>
          </cell>
          <cell r="G448">
            <v>0.23793094380461</v>
          </cell>
          <cell r="H448">
            <v>0.137191963389455</v>
          </cell>
          <cell r="I448">
            <v>0.23005464265787201</v>
          </cell>
        </row>
        <row r="449">
          <cell r="A449" t="str">
            <v>ITOT-SWHSOLBR</v>
          </cell>
          <cell r="B449" t="str">
            <v>VAR_cap</v>
          </cell>
          <cell r="C449" t="str">
            <v>-</v>
          </cell>
          <cell r="D449">
            <v>9.8214799778629808E-3</v>
          </cell>
          <cell r="E449">
            <v>0.10055427740785598</v>
          </cell>
          <cell r="F449">
            <v>0.10055462603855828</v>
          </cell>
          <cell r="G449">
            <v>0.33848556984316897</v>
          </cell>
          <cell r="H449">
            <v>0.35128366034699299</v>
          </cell>
          <cell r="I449">
            <v>0.351440922280017</v>
          </cell>
        </row>
        <row r="450">
          <cell r="A450" t="str">
            <v>SCOM-SHNGAHP</v>
          </cell>
          <cell r="B450" t="str">
            <v>VAR_fout</v>
          </cell>
          <cell r="C450" t="str">
            <v>SCOM-SHANGAH</v>
          </cell>
          <cell r="F450">
            <v>2.3000541767972393</v>
          </cell>
          <cell r="G450">
            <v>4.1686444424919564</v>
          </cell>
          <cell r="H450">
            <v>6.0878347950840128</v>
          </cell>
          <cell r="I450">
            <v>4.9131943937966023</v>
          </cell>
        </row>
        <row r="451">
          <cell r="A451" t="str">
            <v>SCOM-SHNGAHP</v>
          </cell>
          <cell r="B451" t="str">
            <v>VAR_fout</v>
          </cell>
          <cell r="C451" t="str">
            <v>CO2_S</v>
          </cell>
          <cell r="F451">
            <v>67.213140867446498</v>
          </cell>
          <cell r="G451">
            <v>114.80435926770799</v>
          </cell>
          <cell r="H451">
            <v>156.52692324232299</v>
          </cell>
          <cell r="I451">
            <v>115.45205538043599</v>
          </cell>
        </row>
        <row r="452">
          <cell r="A452" t="str">
            <v>SCOM-SHNGAHP</v>
          </cell>
          <cell r="B452" t="str">
            <v>VAR_fin</v>
          </cell>
          <cell r="C452" t="str">
            <v>SCOMELCHPC</v>
          </cell>
          <cell r="F452">
            <v>2.3000541767972393</v>
          </cell>
          <cell r="G452">
            <v>4.1686444424919564</v>
          </cell>
          <cell r="H452">
            <v>6.0878347950840128</v>
          </cell>
          <cell r="I452">
            <v>4.9131943937966023</v>
          </cell>
        </row>
        <row r="453">
          <cell r="A453" t="str">
            <v>SCOM-SHNGAHP</v>
          </cell>
          <cell r="B453" t="str">
            <v>VAR_fin</v>
          </cell>
          <cell r="C453" t="str">
            <v>SNGA</v>
          </cell>
          <cell r="F453">
            <v>1.1917223558057886</v>
          </cell>
          <cell r="G453">
            <v>2.0355382848884469</v>
          </cell>
          <cell r="H453">
            <v>2.7753000574879927</v>
          </cell>
          <cell r="I453">
            <v>2.0470222585183762</v>
          </cell>
        </row>
        <row r="454">
          <cell r="A454" t="str">
            <v>SCOM-SHNGAHP</v>
          </cell>
          <cell r="B454" t="str">
            <v>VAR_ncap</v>
          </cell>
          <cell r="C454" t="str">
            <v>-</v>
          </cell>
          <cell r="D454">
            <v>9.4587576832422303E-7</v>
          </cell>
          <cell r="E454">
            <v>1.03041336166389E-4</v>
          </cell>
          <cell r="F454">
            <v>0.17783616846292899</v>
          </cell>
          <cell r="G454">
            <v>0.144381839518197</v>
          </cell>
          <cell r="H454">
            <v>0.26269670383354199</v>
          </cell>
          <cell r="I454">
            <v>0.161546320824212</v>
          </cell>
        </row>
        <row r="455">
          <cell r="A455" t="str">
            <v>SCOM-SHNGAHP</v>
          </cell>
          <cell r="B455" t="str">
            <v>VAR_cap</v>
          </cell>
          <cell r="C455" t="str">
            <v>-</v>
          </cell>
          <cell r="D455">
            <v>9.4587576832422303E-7</v>
          </cell>
          <cell r="E455">
            <v>1.0340181048488959E-4</v>
          </cell>
          <cell r="F455">
            <v>0.17793910230820298</v>
          </cell>
          <cell r="G455">
            <v>0.32232065429622991</v>
          </cell>
          <cell r="H455">
            <v>0.47283398920312358</v>
          </cell>
          <cell r="I455">
            <v>0.38604545426779624</v>
          </cell>
        </row>
        <row r="456">
          <cell r="A456" t="str">
            <v>RHNS-SHNGABR</v>
          </cell>
          <cell r="B456" t="str">
            <v>VAR_fout</v>
          </cell>
          <cell r="C456" t="str">
            <v>CO2_R</v>
          </cell>
          <cell r="E456">
            <v>6.0651336441335797</v>
          </cell>
          <cell r="F456">
            <v>1.56208239014786</v>
          </cell>
          <cell r="G456">
            <v>1.99051024748892</v>
          </cell>
          <cell r="H456">
            <v>2.1852948336384599</v>
          </cell>
          <cell r="I456">
            <v>1.53181342529111</v>
          </cell>
        </row>
        <row r="457">
          <cell r="A457" t="str">
            <v>RHNS-SHNGABR</v>
          </cell>
          <cell r="B457" t="str">
            <v>VAR_fout</v>
          </cell>
          <cell r="C457" t="str">
            <v>RHNS-SHNGA</v>
          </cell>
          <cell r="E457">
            <v>0.10216093904125693</v>
          </cell>
          <cell r="F457">
            <v>2.6587811636651991E-2</v>
          </cell>
          <cell r="G457">
            <v>3.3879974484605301E-2</v>
          </cell>
          <cell r="H457">
            <v>3.7195353954299536E-2</v>
          </cell>
          <cell r="I457">
            <v>2.60726111958023E-2</v>
          </cell>
        </row>
        <row r="458">
          <cell r="A458" t="str">
            <v>RHNS-SHNGABR</v>
          </cell>
          <cell r="B458" t="str">
            <v>VAR_fin</v>
          </cell>
          <cell r="C458" t="str">
            <v>RNGA</v>
          </cell>
          <cell r="E458">
            <v>0.10753783056974414</v>
          </cell>
          <cell r="F458">
            <v>2.7696496279217456E-2</v>
          </cell>
          <cell r="G458">
            <v>3.5292734884555331E-2</v>
          </cell>
          <cell r="H458">
            <v>3.874636229855425E-2</v>
          </cell>
          <cell r="I458">
            <v>2.7159812505161581E-2</v>
          </cell>
        </row>
        <row r="459">
          <cell r="A459" t="str">
            <v>RHNS-SHNGABR</v>
          </cell>
          <cell r="B459" t="str">
            <v>VAR_ncap</v>
          </cell>
          <cell r="C459" t="str">
            <v>-</v>
          </cell>
          <cell r="E459">
            <v>7.5258888853911802E-3</v>
          </cell>
          <cell r="F459">
            <v>1.54326765572022E-6</v>
          </cell>
          <cell r="G459">
            <v>1.18428424762892E-6</v>
          </cell>
          <cell r="H459">
            <v>2.8305192754260701E-3</v>
          </cell>
          <cell r="I459">
            <v>5.7089326121821204E-6</v>
          </cell>
        </row>
        <row r="460">
          <cell r="A460" t="str">
            <v>RHNS-SHNGABR</v>
          </cell>
          <cell r="B460" t="str">
            <v>VAR_cap</v>
          </cell>
          <cell r="C460" t="str">
            <v>-</v>
          </cell>
          <cell r="E460">
            <v>7.5258888853911802E-3</v>
          </cell>
          <cell r="F460">
            <v>7.36695519865317E-3</v>
          </cell>
          <cell r="G460">
            <v>7.3064490532288029E-3</v>
          </cell>
          <cell r="H460">
            <v>2.8473500910475469E-3</v>
          </cell>
          <cell r="I460">
            <v>2.0661115452067277E-3</v>
          </cell>
        </row>
        <row r="461">
          <cell r="A461" t="str">
            <v>D-RHNM_LTH_CHPNGA</v>
          </cell>
          <cell r="B461" t="str">
            <v>VAR_fout</v>
          </cell>
          <cell r="C461" t="str">
            <v>RHSA_LTH</v>
          </cell>
          <cell r="D461">
            <v>4.7279403253530231E-5</v>
          </cell>
          <cell r="E461">
            <v>9.0147210838232912E-6</v>
          </cell>
          <cell r="F461">
            <v>8.7683820411212175E-3</v>
          </cell>
          <cell r="G461">
            <v>0.35692978817140059</v>
          </cell>
          <cell r="H461">
            <v>1.5594337412588763</v>
          </cell>
          <cell r="I461">
            <v>1.73736711785509E-4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LTH</v>
          </cell>
          <cell r="F462">
            <v>2.1369836873992776E-6</v>
          </cell>
          <cell r="G462">
            <v>1.9601467417913808E-3</v>
          </cell>
          <cell r="H462">
            <v>3.8641740066588243E-3</v>
          </cell>
          <cell r="I462">
            <v>4.3398860313029204E-8</v>
          </cell>
        </row>
        <row r="463">
          <cell r="A463" t="str">
            <v>D-RHNM_LTH_CHPNGA</v>
          </cell>
          <cell r="B463" t="str">
            <v>VAR_fout</v>
          </cell>
          <cell r="C463" t="str">
            <v>RHNM_LTH_CHPNGA_ON</v>
          </cell>
          <cell r="D463">
            <v>1.7739945665691702E-4</v>
          </cell>
          <cell r="E463">
            <v>2.6187291150761988E-3</v>
          </cell>
          <cell r="F463">
            <v>7.4502552655263479E-4</v>
          </cell>
          <cell r="G463">
            <v>1.3148002715869149</v>
          </cell>
          <cell r="H463">
            <v>0.12137830690553096</v>
          </cell>
        </row>
        <row r="464">
          <cell r="A464" t="str">
            <v>D-RHNM_LTH_CHPNGA</v>
          </cell>
          <cell r="B464" t="str">
            <v>VAR_fin</v>
          </cell>
          <cell r="C464" t="str">
            <v>RHNM_LTH_CHPNGA</v>
          </cell>
          <cell r="D464">
            <v>2.2467885991044731E-4</v>
          </cell>
          <cell r="E464">
            <v>2.6283839472254688E-3</v>
          </cell>
          <cell r="F464">
            <v>9.5165932898050361E-3</v>
          </cell>
          <cell r="G464">
            <v>1.6736902065001078</v>
          </cell>
          <cell r="H464">
            <v>1.6846762221710652</v>
          </cell>
          <cell r="I464">
            <v>1.7492735403067068E-4</v>
          </cell>
        </row>
        <row r="465">
          <cell r="A465" t="str">
            <v>RHNM-SHELCHP</v>
          </cell>
          <cell r="B465" t="str">
            <v>VAR_fout</v>
          </cell>
          <cell r="C465" t="str">
            <v>RHNM-SHAELCH</v>
          </cell>
          <cell r="E465">
            <v>4.2370201481444126E-4</v>
          </cell>
          <cell r="F465">
            <v>1.000933671514781</v>
          </cell>
          <cell r="G465">
            <v>1.5720602493251405</v>
          </cell>
          <cell r="H465">
            <v>2.2431974560345989</v>
          </cell>
          <cell r="I465">
            <v>2.6743149701973392</v>
          </cell>
        </row>
        <row r="466">
          <cell r="A466" t="str">
            <v>RHNM-SHELCHP</v>
          </cell>
          <cell r="B466" t="str">
            <v>VAR_fin</v>
          </cell>
          <cell r="C466" t="str">
            <v>RHNM_ELC</v>
          </cell>
          <cell r="E466">
            <v>1.3023627504542276E-4</v>
          </cell>
          <cell r="F466">
            <v>0.29809119620887425</v>
          </cell>
          <cell r="G466">
            <v>0.44052290240788605</v>
          </cell>
          <cell r="H466">
            <v>0.57886343845379662</v>
          </cell>
          <cell r="I466">
            <v>0.63563648723923738</v>
          </cell>
        </row>
        <row r="467">
          <cell r="A467" t="str">
            <v>RHNM-SHELCHP</v>
          </cell>
          <cell r="B467" t="str">
            <v>VAR_fin</v>
          </cell>
          <cell r="C467" t="str">
            <v>RHNMELCHPC</v>
          </cell>
          <cell r="E467">
            <v>4.2370201481444126E-4</v>
          </cell>
          <cell r="F467">
            <v>1.000933671514781</v>
          </cell>
          <cell r="G467">
            <v>1.5720602493251405</v>
          </cell>
          <cell r="H467">
            <v>2.2431974560345989</v>
          </cell>
          <cell r="I467">
            <v>2.6743149701973392</v>
          </cell>
        </row>
        <row r="468">
          <cell r="A468" t="str">
            <v>RHNM-SHELCHP</v>
          </cell>
          <cell r="B468" t="str">
            <v>VAR_ncap</v>
          </cell>
          <cell r="C468" t="str">
            <v>-</v>
          </cell>
          <cell r="E468">
            <v>2.1112687592777599E-4</v>
          </cell>
          <cell r="F468">
            <v>7.7679892047119795E-2</v>
          </cell>
          <cell r="G468">
            <v>4.5062833429464502E-2</v>
          </cell>
          <cell r="H468">
            <v>9.7362331711153896E-2</v>
          </cell>
          <cell r="I468">
            <v>0.123663537217201</v>
          </cell>
        </row>
        <row r="469">
          <cell r="A469" t="str">
            <v>RHNM-SHELCHP</v>
          </cell>
          <cell r="B469" t="str">
            <v>VAR_cap</v>
          </cell>
          <cell r="C469" t="str">
            <v>-</v>
          </cell>
          <cell r="E469">
            <v>2.1112687592777599E-4</v>
          </cell>
          <cell r="F469">
            <v>7.7890522633812687E-2</v>
          </cell>
          <cell r="G469">
            <v>0.12295159476848473</v>
          </cell>
          <cell r="H469">
            <v>0.17426685445711834</v>
          </cell>
          <cell r="I469">
            <v>0.2080143000695204</v>
          </cell>
        </row>
        <row r="470">
          <cell r="A470" t="str">
            <v>D-IH2R</v>
          </cell>
          <cell r="B470" t="str">
            <v>VAR_fout</v>
          </cell>
          <cell r="C470" t="str">
            <v>IH2</v>
          </cell>
          <cell r="H470">
            <v>1.0855644635978057</v>
          </cell>
          <cell r="I470">
            <v>7.8115306528090898</v>
          </cell>
        </row>
        <row r="471">
          <cell r="A471" t="str">
            <v>D-IH2R</v>
          </cell>
          <cell r="B471" t="str">
            <v>VAR_fin</v>
          </cell>
          <cell r="C471" t="str">
            <v>H2</v>
          </cell>
          <cell r="H471">
            <v>1.0855644635978057</v>
          </cell>
          <cell r="I471">
            <v>7.8115306528090898</v>
          </cell>
        </row>
        <row r="472">
          <cell r="A472" t="str">
            <v>D-IH2R</v>
          </cell>
          <cell r="B472" t="str">
            <v>VAR_ncap</v>
          </cell>
          <cell r="C472" t="str">
            <v>-</v>
          </cell>
          <cell r="G472">
            <v>1.22193267856747E-6</v>
          </cell>
          <cell r="H472">
            <v>3.8662937074314098E-2</v>
          </cell>
          <cell r="I472">
            <v>0.26199189672974499</v>
          </cell>
        </row>
        <row r="473">
          <cell r="A473" t="str">
            <v>D-IH2R</v>
          </cell>
          <cell r="B473" t="str">
            <v>VAR_cap</v>
          </cell>
          <cell r="C473" t="str">
            <v>-</v>
          </cell>
          <cell r="G473">
            <v>1.22193267856747E-6</v>
          </cell>
          <cell r="H473">
            <v>4.5737370007005701E-2</v>
          </cell>
          <cell r="I473">
            <v>0.27523477413923703</v>
          </cell>
        </row>
        <row r="474">
          <cell r="A474" t="str">
            <v>RHEM-SHSTG-ELC</v>
          </cell>
          <cell r="B474" t="str">
            <v>VAR_fout</v>
          </cell>
          <cell r="C474" t="str">
            <v>RHEM-SHAELCB</v>
          </cell>
          <cell r="D474">
            <v>2.9704591284970822E-7</v>
          </cell>
          <cell r="E474">
            <v>0.76736182994827873</v>
          </cell>
          <cell r="F474">
            <v>7.0816677026802098E-3</v>
          </cell>
          <cell r="G474">
            <v>1.1874843395534313E-3</v>
          </cell>
          <cell r="H474">
            <v>3.5079664829720195E-4</v>
          </cell>
          <cell r="I474">
            <v>2.5740910704187927E-4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4.8291511787076832E-5</v>
          </cell>
          <cell r="E475">
            <v>0.76740200935394287</v>
          </cell>
          <cell r="F475">
            <v>7.0792180980629362E-3</v>
          </cell>
          <cell r="G475">
            <v>1.1881668034443727E-3</v>
          </cell>
          <cell r="H475">
            <v>3.6034903107529174E-4</v>
          </cell>
          <cell r="I475">
            <v>2.5952506767818243E-4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2.4164968062495601E-2</v>
          </cell>
          <cell r="E476">
            <v>5.2792649032110499E-2</v>
          </cell>
          <cell r="F476">
            <v>2.5816718340443299E-5</v>
          </cell>
          <cell r="G476">
            <v>4.02204810422877E-5</v>
          </cell>
          <cell r="H476">
            <v>5.6867638479604903E-5</v>
          </cell>
          <cell r="I476">
            <v>2.7736986425976498E-5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2.4164968062495601E-2</v>
          </cell>
          <cell r="E477">
            <v>7.689162531964025E-2</v>
          </cell>
          <cell r="F477">
            <v>1.0522523252579075E-3</v>
          </cell>
          <cell r="G477">
            <v>2.6337831256009747E-4</v>
          </cell>
          <cell r="H477">
            <v>7.7995790512049213E-5</v>
          </cell>
          <cell r="I477">
            <v>4.7827491902355499E-5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1.6722351464504799E-4</v>
          </cell>
          <cell r="H478">
            <v>1.162073343948E-4</v>
          </cell>
          <cell r="I478">
            <v>9.2142484276229794E-5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1.6722351464504799E-4</v>
          </cell>
          <cell r="H479">
            <v>2.1940090246452099E-4</v>
          </cell>
          <cell r="I479">
            <v>1.40496260338972E-4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74.35269248141455</v>
          </cell>
          <cell r="F480">
            <v>75.692598758160898</v>
          </cell>
          <cell r="G480">
            <v>76.679221044440467</v>
          </cell>
          <cell r="H480">
            <v>77.235103262790986</v>
          </cell>
          <cell r="I480">
            <v>77.836443425572725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2.2543084434437213E-4</v>
          </cell>
          <cell r="G481">
            <v>1.5022772099619058E-4</v>
          </cell>
          <cell r="H481">
            <v>1.429626648392324E-3</v>
          </cell>
          <cell r="I481">
            <v>1.3824733678508426E-3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61.718265349081911</v>
          </cell>
          <cell r="E482">
            <v>58.48781958423514</v>
          </cell>
          <cell r="F482">
            <v>59.525436023460799</v>
          </cell>
          <cell r="G482">
            <v>50.032865813427563</v>
          </cell>
          <cell r="H482">
            <v>34.962318935545611</v>
          </cell>
          <cell r="I482">
            <v>26.621568162403676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1.4007962341506632</v>
          </cell>
          <cell r="F483">
            <v>1.7196993532771008</v>
          </cell>
          <cell r="G483">
            <v>3.5789655049634743</v>
          </cell>
          <cell r="H483">
            <v>7.8368280690827801</v>
          </cell>
          <cell r="I483">
            <v>7.7912407811117061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4.0437024752062882</v>
          </cell>
          <cell r="F484">
            <v>4.043782298694329</v>
          </cell>
          <cell r="G484">
            <v>10.402664028530474</v>
          </cell>
          <cell r="H484">
            <v>21.753381745547365</v>
          </cell>
          <cell r="I484">
            <v>30.887635614246502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9.8139797135000535</v>
          </cell>
          <cell r="E485">
            <v>10.335088312921847</v>
          </cell>
          <cell r="F485">
            <v>10.317075192467135</v>
          </cell>
          <cell r="G485">
            <v>10.335014409138759</v>
          </cell>
          <cell r="H485">
            <v>10.335026791671655</v>
          </cell>
          <cell r="I485">
            <v>10.191199179946176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6.7796428268993777E-2</v>
          </cell>
          <cell r="E486">
            <v>8.5628532908761407E-2</v>
          </cell>
          <cell r="F486">
            <v>8.6831880705383543E-2</v>
          </cell>
          <cell r="G486">
            <v>2.3299330274389769</v>
          </cell>
          <cell r="H486">
            <v>2.3468074637274019</v>
          </cell>
          <cell r="I486">
            <v>2.3440361635632558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2.0508371041753529E-4</v>
          </cell>
          <cell r="F487">
            <v>1.3168798741017016E-3</v>
          </cell>
          <cell r="G487">
            <v>1.8393564830584443E-3</v>
          </cell>
          <cell r="H487">
            <v>1.891081426917963E-3</v>
          </cell>
          <cell r="I487">
            <v>1.0518268014336366E-4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2.0500948655670994E-4</v>
          </cell>
          <cell r="F488">
            <v>1.3208317614063977E-3</v>
          </cell>
          <cell r="G488">
            <v>1.8441241108383554E-3</v>
          </cell>
          <cell r="H488">
            <v>1.8969103263780803E-3</v>
          </cell>
          <cell r="I488">
            <v>1.0537517400474608E-4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4.1009319697424501E-4</v>
          </cell>
          <cell r="F489">
            <v>2.6133364246023029E-3</v>
          </cell>
          <cell r="G489">
            <v>3.6834805938967983E-3</v>
          </cell>
          <cell r="H489">
            <v>3.7879917532960441E-3</v>
          </cell>
          <cell r="I489">
            <v>2.1055785414810985E-4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1.606861379170307E-2</v>
          </cell>
          <cell r="G490">
            <v>4.6323676472245952E-2</v>
          </cell>
          <cell r="H490">
            <v>0.10679622203113921</v>
          </cell>
          <cell r="I490">
            <v>0.1652754224729934</v>
          </cell>
        </row>
        <row r="491">
          <cell r="A491" t="str">
            <v>RHNM-SHSTG-NGAHP</v>
          </cell>
          <cell r="B491" t="str">
            <v>VAR_fin</v>
          </cell>
          <cell r="C491" t="str">
            <v>RHNM-SHANGAH</v>
          </cell>
          <cell r="F491">
            <v>1.6174444594944319E-2</v>
          </cell>
          <cell r="G491">
            <v>4.6413998505628586E-2</v>
          </cell>
          <cell r="H491">
            <v>0.10685619298075649</v>
          </cell>
          <cell r="I491">
            <v>0.16533627250784</v>
          </cell>
        </row>
        <row r="492">
          <cell r="A492" t="str">
            <v>RHNM-SHSTG-NGAHP</v>
          </cell>
          <cell r="B492" t="str">
            <v>VAR_ncap</v>
          </cell>
          <cell r="C492" t="str">
            <v>-</v>
          </cell>
          <cell r="D492">
            <v>3.6558542106548797E-5</v>
          </cell>
          <cell r="E492">
            <v>3.32303679779362E-5</v>
          </cell>
          <cell r="F492">
            <v>5.59465998847819E-3</v>
          </cell>
          <cell r="G492">
            <v>7.4586205027045204E-3</v>
          </cell>
          <cell r="H492">
            <v>8.8863788959703295E-3</v>
          </cell>
          <cell r="I492">
            <v>1.02626093270815E-2</v>
          </cell>
        </row>
        <row r="493">
          <cell r="A493" t="str">
            <v>RHNM-SHSTG-NGAHP</v>
          </cell>
          <cell r="B493" t="str">
            <v>VAR_cap</v>
          </cell>
          <cell r="C493" t="str">
            <v>-</v>
          </cell>
          <cell r="D493">
            <v>3.6558542106548797E-5</v>
          </cell>
          <cell r="E493">
            <v>3.1946266945515018E-6</v>
          </cell>
          <cell r="F493">
            <v>5.5813481072882146E-3</v>
          </cell>
          <cell r="G493">
            <v>1.3008371686428825E-2</v>
          </cell>
          <cell r="H493">
            <v>1.9286513416160861E-2</v>
          </cell>
          <cell r="I493">
            <v>1.8498365474266133E-2</v>
          </cell>
        </row>
        <row r="494">
          <cell r="A494" t="str">
            <v>D-IBIO</v>
          </cell>
          <cell r="B494" t="str">
            <v>VAR_fout</v>
          </cell>
          <cell r="C494" t="str">
            <v>IBIO</v>
          </cell>
          <cell r="D494">
            <v>0.43678897104158904</v>
          </cell>
          <cell r="E494">
            <v>0.5520809943217172</v>
          </cell>
          <cell r="F494">
            <v>0.55435557621463849</v>
          </cell>
          <cell r="G494">
            <v>0.55434620857990757</v>
          </cell>
          <cell r="H494">
            <v>0.5543435267172806</v>
          </cell>
          <cell r="I494">
            <v>0.55434299213224747</v>
          </cell>
        </row>
        <row r="495">
          <cell r="A495" t="str">
            <v>D-IBIO</v>
          </cell>
          <cell r="B495" t="str">
            <v>VAR_fin</v>
          </cell>
          <cell r="C495" t="str">
            <v>BIO</v>
          </cell>
          <cell r="D495">
            <v>0.43678897104158904</v>
          </cell>
          <cell r="E495">
            <v>0.5520809943217172</v>
          </cell>
          <cell r="F495">
            <v>0.55435557621463849</v>
          </cell>
          <cell r="G495">
            <v>0.55434620857990757</v>
          </cell>
          <cell r="H495">
            <v>0.5543435267172806</v>
          </cell>
          <cell r="I495">
            <v>0.55434299213224747</v>
          </cell>
        </row>
        <row r="496">
          <cell r="A496" t="str">
            <v>D-RHES_KEV_WOD_ELC_CHP</v>
          </cell>
          <cell r="B496" t="str">
            <v>VAR_fout</v>
          </cell>
          <cell r="C496" t="str">
            <v>RHES_ELC</v>
          </cell>
          <cell r="G496">
            <v>2.0871262716250656E-4</v>
          </cell>
          <cell r="H496">
            <v>1.5774691214219213E-4</v>
          </cell>
          <cell r="I496">
            <v>1.8364368445353247E-4</v>
          </cell>
        </row>
        <row r="497">
          <cell r="A497" t="str">
            <v>D-RHES_KEV_WOD_ELC_CHP</v>
          </cell>
          <cell r="B497" t="str">
            <v>VAR_fout</v>
          </cell>
          <cell r="C497" t="str">
            <v>ELC5</v>
          </cell>
          <cell r="G497">
            <v>2.6828832177264346E-4</v>
          </cell>
          <cell r="H497">
            <v>1.5785619901668375E-4</v>
          </cell>
          <cell r="I497">
            <v>1.8376574253148483E-4</v>
          </cell>
        </row>
        <row r="498">
          <cell r="A498" t="str">
            <v>D-RHES_KEV_WOD_ELC_CHP</v>
          </cell>
          <cell r="B498" t="str">
            <v>VAR_fin</v>
          </cell>
          <cell r="C498" t="str">
            <v>RHES_KEV_WOD_ELC_CHP</v>
          </cell>
          <cell r="G498">
            <v>4.6206194023703281E-4</v>
          </cell>
          <cell r="H498">
            <v>2.9099480568068746E-4</v>
          </cell>
          <cell r="I498">
            <v>3.4616885551723902E-4</v>
          </cell>
        </row>
        <row r="499">
          <cell r="A499" t="str">
            <v>RHNS-SHLFOBR</v>
          </cell>
          <cell r="B499" t="str">
            <v>VAR_fout</v>
          </cell>
          <cell r="C499" t="str">
            <v>CO2_R</v>
          </cell>
          <cell r="E499">
            <v>2.4376704357971799E-3</v>
          </cell>
          <cell r="F499">
            <v>2.3607848440278798</v>
          </cell>
          <cell r="G499">
            <v>2.6233927245950599</v>
          </cell>
          <cell r="H499">
            <v>1.76266320208629</v>
          </cell>
        </row>
        <row r="500">
          <cell r="A500" t="str">
            <v>RHNS-SHLFOBR</v>
          </cell>
          <cell r="B500" t="str">
            <v>VAR_fout</v>
          </cell>
          <cell r="C500" t="str">
            <v>RHNS-SHLFO</v>
          </cell>
          <cell r="E500">
            <v>2.9630209390343463E-5</v>
          </cell>
          <cell r="F500">
            <v>3.0410063766229189E-2</v>
          </cell>
          <cell r="G500">
            <v>3.3792992312881125E-2</v>
          </cell>
          <cell r="H500">
            <v>2.2705584146031261E-2</v>
          </cell>
        </row>
        <row r="501">
          <cell r="A501" t="str">
            <v>RHNS-SHLFOBR</v>
          </cell>
          <cell r="B501" t="str">
            <v>VAR_fin</v>
          </cell>
          <cell r="C501" t="str">
            <v>RLFO</v>
          </cell>
          <cell r="E501">
            <v>3.3075582575267091E-5</v>
          </cell>
          <cell r="F501">
            <v>3.2032358806348457E-2</v>
          </cell>
          <cell r="G501">
            <v>3.55955593567851E-2</v>
          </cell>
          <cell r="H501">
            <v>2.3916732728443607E-2</v>
          </cell>
        </row>
        <row r="502">
          <cell r="A502" t="str">
            <v>RHNS-SHLFOBR</v>
          </cell>
          <cell r="B502" t="str">
            <v>VAR_ncap</v>
          </cell>
          <cell r="C502" t="str">
            <v>-</v>
          </cell>
          <cell r="E502">
            <v>3.9461495924988101E-5</v>
          </cell>
          <cell r="F502">
            <v>9.3780148401904403E-3</v>
          </cell>
        </row>
        <row r="503">
          <cell r="A503" t="str">
            <v>RHNS-SHLFOBR</v>
          </cell>
          <cell r="B503" t="str">
            <v>VAR_cap</v>
          </cell>
          <cell r="C503" t="str">
            <v>-</v>
          </cell>
          <cell r="E503">
            <v>3.9461495924988101E-5</v>
          </cell>
          <cell r="F503">
            <v>9.409564059840848E-3</v>
          </cell>
          <cell r="G503">
            <v>9.4024390428493476E-3</v>
          </cell>
          <cell r="H503">
            <v>1.6610032165620657E-3</v>
          </cell>
        </row>
        <row r="504">
          <cell r="A504" t="str">
            <v>D-SNGA</v>
          </cell>
          <cell r="B504" t="str">
            <v>VAR_fout</v>
          </cell>
          <cell r="C504" t="str">
            <v>CO2</v>
          </cell>
          <cell r="D504">
            <v>1523.7325557680699</v>
          </cell>
          <cell r="E504">
            <v>1502.46001948503</v>
          </cell>
          <cell r="F504">
            <v>1291.8314900717501</v>
          </cell>
          <cell r="G504">
            <v>873.10199683864596</v>
          </cell>
          <cell r="H504">
            <v>205.27419983798299</v>
          </cell>
          <cell r="I504">
            <v>7.9009560130717196</v>
          </cell>
        </row>
        <row r="505">
          <cell r="A505" t="str">
            <v>D-SNGA</v>
          </cell>
          <cell r="B505" t="str">
            <v>VAR_fout</v>
          </cell>
          <cell r="C505" t="str">
            <v>SNGA</v>
          </cell>
          <cell r="D505">
            <v>27.236418437337111</v>
          </cell>
          <cell r="E505">
            <v>28.488371342321891</v>
          </cell>
          <cell r="F505">
            <v>23.039944057721428</v>
          </cell>
          <cell r="G505">
            <v>15.431931483591708</v>
          </cell>
          <cell r="H505">
            <v>5.045286131456816</v>
          </cell>
          <cell r="I505">
            <v>2.9643340674660323</v>
          </cell>
        </row>
        <row r="506">
          <cell r="A506" t="str">
            <v>D-SNGA</v>
          </cell>
          <cell r="B506" t="str">
            <v>VAR_fout</v>
          </cell>
          <cell r="C506" t="str">
            <v>RSH2</v>
          </cell>
          <cell r="G506">
            <v>2.7912344742000716E-3</v>
          </cell>
          <cell r="H506">
            <v>5.4314662550820241E-4</v>
          </cell>
          <cell r="I506">
            <v>1.3859280952921929E-2</v>
          </cell>
        </row>
        <row r="507">
          <cell r="A507" t="str">
            <v>D-SNGA</v>
          </cell>
          <cell r="B507" t="str">
            <v>VAR_fin</v>
          </cell>
          <cell r="C507" t="str">
            <v>NGA</v>
          </cell>
          <cell r="D507">
            <v>27.016534676738925</v>
          </cell>
          <cell r="E507">
            <v>26.639362047606845</v>
          </cell>
          <cell r="F507">
            <v>22.904813653754491</v>
          </cell>
          <cell r="G507">
            <v>15.480531858841246</v>
          </cell>
          <cell r="H507">
            <v>3.6396134723046591</v>
          </cell>
          <cell r="I507">
            <v>0.14008787257219335</v>
          </cell>
        </row>
        <row r="508">
          <cell r="A508" t="str">
            <v>D-SNGA</v>
          </cell>
          <cell r="B508" t="str">
            <v>VAR_fin</v>
          </cell>
          <cell r="C508" t="str">
            <v>BNGA</v>
          </cell>
          <cell r="D508">
            <v>0.30689375644678984</v>
          </cell>
          <cell r="E508">
            <v>1.9400188038372221</v>
          </cell>
          <cell r="F508">
            <v>0.20873426056158659</v>
          </cell>
          <cell r="G508">
            <v>8.1870404320378632E-4</v>
          </cell>
          <cell r="H508">
            <v>1.4219323677440694</v>
          </cell>
          <cell r="I508">
            <v>2.8343191083269872</v>
          </cell>
        </row>
        <row r="509">
          <cell r="A509" t="str">
            <v>D-SNGA</v>
          </cell>
          <cell r="B509" t="str">
            <v>VAR_fin</v>
          </cell>
          <cell r="C509" t="str">
            <v>H2</v>
          </cell>
          <cell r="G509">
            <v>2.7879371574038173E-3</v>
          </cell>
          <cell r="H509">
            <v>5.3296733620923772E-4</v>
          </cell>
          <cell r="I509">
            <v>1.3842806642182357E-2</v>
          </cell>
        </row>
        <row r="510">
          <cell r="A510" t="str">
            <v>D-SNGA</v>
          </cell>
          <cell r="B510" t="str">
            <v>VAR_ncap</v>
          </cell>
          <cell r="C510" t="str">
            <v>-</v>
          </cell>
          <cell r="D510">
            <v>1.67942359656931E-5</v>
          </cell>
          <cell r="E510">
            <v>3.1678718790335098E-7</v>
          </cell>
          <cell r="F510">
            <v>4.8341239678750196E-7</v>
          </cell>
          <cell r="G510">
            <v>7.9234319901921602E-7</v>
          </cell>
          <cell r="H510">
            <v>1.61539932667644E-6</v>
          </cell>
          <cell r="I510">
            <v>3.0726743372456601E-6</v>
          </cell>
        </row>
        <row r="511">
          <cell r="A511" t="str">
            <v>D-SNGA</v>
          </cell>
          <cell r="B511" t="str">
            <v>VAR_cap</v>
          </cell>
          <cell r="C511" t="str">
            <v>-</v>
          </cell>
          <cell r="D511">
            <v>2.2350689958611061</v>
          </cell>
          <cell r="E511">
            <v>2.2350693126482937</v>
          </cell>
          <cell r="F511">
            <v>2.2350697960606905</v>
          </cell>
          <cell r="G511">
            <v>2.2350705884038895</v>
          </cell>
          <cell r="H511">
            <v>2.235073503091507</v>
          </cell>
          <cell r="I511">
            <v>1.120914876629564</v>
          </cell>
        </row>
        <row r="512">
          <cell r="A512" t="str">
            <v>D-IPLT</v>
          </cell>
          <cell r="B512" t="str">
            <v>VAR_fout</v>
          </cell>
          <cell r="C512" t="str">
            <v>IPLT</v>
          </cell>
          <cell r="D512">
            <v>0.62581918435258088</v>
          </cell>
          <cell r="E512">
            <v>0.73758528935951095</v>
          </cell>
          <cell r="F512">
            <v>0.73637758436969825</v>
          </cell>
          <cell r="G512">
            <v>0.73430973761867646</v>
          </cell>
          <cell r="H512">
            <v>4.0915414152718812</v>
          </cell>
          <cell r="I512">
            <v>5.5365287423025489</v>
          </cell>
        </row>
        <row r="513">
          <cell r="A513" t="str">
            <v>D-IPLT</v>
          </cell>
          <cell r="B513" t="str">
            <v>VAR_fin</v>
          </cell>
          <cell r="C513" t="str">
            <v>PLT</v>
          </cell>
          <cell r="D513">
            <v>0.62581918435258088</v>
          </cell>
          <cell r="E513">
            <v>0.73758528935951095</v>
          </cell>
          <cell r="F513">
            <v>0.73637758436969825</v>
          </cell>
          <cell r="G513">
            <v>0.73430973761867646</v>
          </cell>
          <cell r="H513">
            <v>4.0915414152718812</v>
          </cell>
          <cell r="I513">
            <v>5.5365287423025489</v>
          </cell>
        </row>
        <row r="514">
          <cell r="A514" t="str">
            <v>ITOT-SWHWODBR</v>
          </cell>
          <cell r="B514" t="str">
            <v>VAR_fout</v>
          </cell>
          <cell r="C514" t="str">
            <v>ITOT-SWH</v>
          </cell>
          <cell r="D514">
            <v>5.3111705173667421</v>
          </cell>
          <cell r="E514">
            <v>6.2669644138642679</v>
          </cell>
          <cell r="F514">
            <v>5.794814445405704</v>
          </cell>
          <cell r="G514">
            <v>5.8968593300387395</v>
          </cell>
          <cell r="H514">
            <v>3.466389336658521</v>
          </cell>
          <cell r="I514">
            <v>1.6144546341263935E-3</v>
          </cell>
        </row>
        <row r="515">
          <cell r="A515" t="str">
            <v>ITOT-SWHWODBR</v>
          </cell>
          <cell r="B515" t="str">
            <v>VAR_fin</v>
          </cell>
          <cell r="C515" t="str">
            <v>IWOD</v>
          </cell>
          <cell r="D515">
            <v>9.0019839277402376</v>
          </cell>
          <cell r="E515">
            <v>10.609984899318739</v>
          </cell>
          <cell r="F515">
            <v>9.7940525837842927</v>
          </cell>
          <cell r="G515">
            <v>9.9385269607394413</v>
          </cell>
          <cell r="H515">
            <v>5.8095910670254565</v>
          </cell>
          <cell r="I515">
            <v>2.6907577235439854E-3</v>
          </cell>
        </row>
        <row r="516">
          <cell r="A516" t="str">
            <v>ITOT-SWHWODBR</v>
          </cell>
          <cell r="B516" t="str">
            <v>VAR_fin</v>
          </cell>
          <cell r="C516" t="str">
            <v>ITOTWODBRC</v>
          </cell>
          <cell r="D516">
            <v>5.3111705173667421</v>
          </cell>
          <cell r="E516">
            <v>6.2669644138642679</v>
          </cell>
          <cell r="F516">
            <v>5.794814445405704</v>
          </cell>
          <cell r="G516">
            <v>5.8968593300387395</v>
          </cell>
          <cell r="H516">
            <v>3.466389336658521</v>
          </cell>
          <cell r="I516">
            <v>1.6144546341263935E-3</v>
          </cell>
        </row>
        <row r="517">
          <cell r="A517" t="str">
            <v>ITOT-SWHWODBR</v>
          </cell>
          <cell r="B517" t="str">
            <v>VAR_ncap</v>
          </cell>
          <cell r="C517" t="str">
            <v>-</v>
          </cell>
          <cell r="E517">
            <v>5.2856379627394499E-2</v>
          </cell>
          <cell r="F517">
            <v>1.92467528227216E-5</v>
          </cell>
          <cell r="G517">
            <v>1.8489052858406301E-3</v>
          </cell>
          <cell r="H517">
            <v>1.1245923700565301E-4</v>
          </cell>
          <cell r="I517">
            <v>5.6798124708360697E-5</v>
          </cell>
        </row>
        <row r="518">
          <cell r="A518" t="str">
            <v>ITOT-SWHWODBR</v>
          </cell>
          <cell r="B518" t="str">
            <v>VAR_cap</v>
          </cell>
          <cell r="C518" t="str">
            <v>-</v>
          </cell>
          <cell r="D518">
            <v>0.28883369534761499</v>
          </cell>
          <cell r="E518">
            <v>0.34168633370578638</v>
          </cell>
          <cell r="F518">
            <v>0.34167426813511226</v>
          </cell>
          <cell r="G518">
            <v>0.34347865767017532</v>
          </cell>
          <cell r="H518">
            <v>0.21925767394356882</v>
          </cell>
          <cell r="I518">
            <v>1.5403585559919941E-4</v>
          </cell>
        </row>
        <row r="519">
          <cell r="A519" t="str">
            <v>D-ITOT_KEV_WOD_ELC_CHP</v>
          </cell>
          <cell r="B519" t="str">
            <v>VAR_fout</v>
          </cell>
          <cell r="C519" t="str">
            <v>ITOT_ELC</v>
          </cell>
          <cell r="D519">
            <v>8.8970960416496516E-4</v>
          </cell>
          <cell r="E519">
            <v>3.6161433092219428E-4</v>
          </cell>
          <cell r="F519">
            <v>6.3927040958769953E-4</v>
          </cell>
          <cell r="G519">
            <v>4.6231155097189881E-3</v>
          </cell>
          <cell r="H519">
            <v>7.6629424822429681E-2</v>
          </cell>
          <cell r="I519">
            <v>0.22943472090501857</v>
          </cell>
        </row>
        <row r="520">
          <cell r="A520" t="str">
            <v>D-ITOT_KEV_WOD_ELC_CHP</v>
          </cell>
          <cell r="B520" t="str">
            <v>VAR_fout</v>
          </cell>
          <cell r="C520" t="str">
            <v>ELC5</v>
          </cell>
          <cell r="D520">
            <v>0.17159321705962893</v>
          </cell>
          <cell r="E520">
            <v>0.16356192520659915</v>
          </cell>
          <cell r="F520">
            <v>1.139754414214778</v>
          </cell>
          <cell r="G520">
            <v>2.3786650229456812</v>
          </cell>
          <cell r="H520">
            <v>3.4013060668797936</v>
          </cell>
          <cell r="I520">
            <v>3.6805434609683734</v>
          </cell>
        </row>
        <row r="521">
          <cell r="A521" t="str">
            <v>D-ITOT_KEV_WOD_ELC_CHP</v>
          </cell>
          <cell r="B521" t="str">
            <v>VAR_fin</v>
          </cell>
          <cell r="C521" t="str">
            <v>ITOT_KEV_WOD_ELC_CHP</v>
          </cell>
          <cell r="D521">
            <v>0.17248292666379383</v>
          </cell>
          <cell r="E521">
            <v>0.16392353953752159</v>
          </cell>
          <cell r="F521">
            <v>1.1403751239746929</v>
          </cell>
          <cell r="G521">
            <v>2.3832585764725023</v>
          </cell>
          <cell r="H521">
            <v>3.4779354917022243</v>
          </cell>
          <cell r="I521">
            <v>3.9099781818733907</v>
          </cell>
        </row>
        <row r="522">
          <cell r="A522" t="str">
            <v>RHEM-SHSTG-SOL</v>
          </cell>
          <cell r="B522" t="str">
            <v>VAR_fout</v>
          </cell>
          <cell r="C522" t="str">
            <v>RHEM-SHASOL</v>
          </cell>
          <cell r="D522">
            <v>1.522400266372372E-5</v>
          </cell>
          <cell r="E522">
            <v>1.745193084007281E-5</v>
          </cell>
          <cell r="F522">
            <v>4.4147772906307069E-3</v>
          </cell>
          <cell r="G522">
            <v>5.2143895697930043E-3</v>
          </cell>
          <cell r="H522">
            <v>2.4306529103559236E-3</v>
          </cell>
          <cell r="I522">
            <v>2.7932811695549021E-3</v>
          </cell>
        </row>
        <row r="523">
          <cell r="A523" t="str">
            <v>RHEM-SHSTG-SOL</v>
          </cell>
          <cell r="B523" t="str">
            <v>VAR_fin</v>
          </cell>
          <cell r="C523" t="str">
            <v>RHEM-SHASOL</v>
          </cell>
          <cell r="D523">
            <v>1.398435352379979E-5</v>
          </cell>
          <cell r="E523">
            <v>3.7812076647854462E-5</v>
          </cell>
          <cell r="F523">
            <v>4.436221838975061E-3</v>
          </cell>
          <cell r="G523">
            <v>5.2180302913666854E-3</v>
          </cell>
          <cell r="H523">
            <v>2.4407400914293722E-3</v>
          </cell>
          <cell r="I523">
            <v>2.8064730681393907E-3</v>
          </cell>
        </row>
        <row r="524">
          <cell r="A524" t="str">
            <v>RHEM-SHSTG-SOL</v>
          </cell>
          <cell r="B524" t="str">
            <v>VAR_ncap</v>
          </cell>
          <cell r="C524" t="str">
            <v>-</v>
          </cell>
          <cell r="D524">
            <v>1.45855622380764E-2</v>
          </cell>
          <cell r="E524">
            <v>1.5133833006743399E-3</v>
          </cell>
          <cell r="F524">
            <v>9.03342327198317E-7</v>
          </cell>
          <cell r="G524">
            <v>1.2765681971374501E-6</v>
          </cell>
          <cell r="H524">
            <v>4.4484660009795802E-4</v>
          </cell>
          <cell r="I524">
            <v>1.6512659286566E-4</v>
          </cell>
        </row>
        <row r="525">
          <cell r="A525" t="str">
            <v>RHEM-SHSTG-SOL</v>
          </cell>
          <cell r="B525" t="str">
            <v>VAR_cap</v>
          </cell>
          <cell r="C525" t="str">
            <v>-</v>
          </cell>
          <cell r="D525">
            <v>1.45855622380764E-2</v>
          </cell>
          <cell r="E525">
            <v>1.6098945538750801E-2</v>
          </cell>
          <cell r="F525">
            <v>1.6099848881077999E-2</v>
          </cell>
          <cell r="G525">
            <v>1.6101125449275101E-2</v>
          </cell>
          <cell r="H525">
            <v>6.0093739655032595E-4</v>
          </cell>
          <cell r="I525">
            <v>5.5355577570076399E-4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ITOT-ELS</v>
          </cell>
          <cell r="I526">
            <v>0.4871729465557007</v>
          </cell>
        </row>
        <row r="527">
          <cell r="A527" t="str">
            <v>ITOT-SWHCONBR10</v>
          </cell>
          <cell r="B527" t="str">
            <v>VAR_fout</v>
          </cell>
          <cell r="C527" t="str">
            <v>ITOT-SWHC</v>
          </cell>
          <cell r="I527">
            <v>3.0000617630736044</v>
          </cell>
        </row>
        <row r="528">
          <cell r="A528" t="str">
            <v>ITOT-SWHCONBR10</v>
          </cell>
          <cell r="B528" t="str">
            <v>VAR_fin</v>
          </cell>
          <cell r="C528" t="str">
            <v>CON</v>
          </cell>
          <cell r="I528">
            <v>3.4872347096293028</v>
          </cell>
        </row>
        <row r="529">
          <cell r="A529" t="str">
            <v>ITOT-SWHCONBR10</v>
          </cell>
          <cell r="B529" t="str">
            <v>VAR_ncap</v>
          </cell>
          <cell r="C529" t="str">
            <v>-</v>
          </cell>
          <cell r="I529">
            <v>0.18964229811564101</v>
          </cell>
        </row>
        <row r="530">
          <cell r="A530" t="str">
            <v>ITOT-SWHCONBR10</v>
          </cell>
          <cell r="B530" t="str">
            <v>VAR_cap</v>
          </cell>
          <cell r="C530" t="str">
            <v>-</v>
          </cell>
          <cell r="I530">
            <v>0.18964229811564101</v>
          </cell>
        </row>
        <row r="531">
          <cell r="A531" t="str">
            <v>SCOM-SHSTG</v>
          </cell>
          <cell r="B531" t="str">
            <v>VAR_fout</v>
          </cell>
          <cell r="C531" t="str">
            <v>AUX_SCOM-SHSTG_OUT</v>
          </cell>
          <cell r="D531">
            <v>4.3568724654520574E-5</v>
          </cell>
          <cell r="E531">
            <v>1.7614240973128537E-4</v>
          </cell>
          <cell r="F531">
            <v>1.3022571825796662E-4</v>
          </cell>
          <cell r="G531">
            <v>1.193106381385703E-4</v>
          </cell>
          <cell r="H531">
            <v>5.5345551413671422E-4</v>
          </cell>
          <cell r="I531">
            <v>5.3868795949977765E-3</v>
          </cell>
        </row>
        <row r="532">
          <cell r="A532" t="str">
            <v>SCOM-SHSTG</v>
          </cell>
          <cell r="B532" t="str">
            <v>VAR_fout</v>
          </cell>
          <cell r="C532" t="str">
            <v>SCOM-SHD</v>
          </cell>
          <cell r="D532">
            <v>4.3568724654520641E-5</v>
          </cell>
          <cell r="E532">
            <v>1.7628638309300727E-4</v>
          </cell>
          <cell r="F532">
            <v>1.303920346286664E-4</v>
          </cell>
          <cell r="G532">
            <v>1.1931063813857008E-4</v>
          </cell>
          <cell r="H532">
            <v>5.5345551413671303E-4</v>
          </cell>
          <cell r="I532">
            <v>5.3868795949977765E-3</v>
          </cell>
        </row>
        <row r="533">
          <cell r="A533" t="str">
            <v>SCOM-SHSTG</v>
          </cell>
          <cell r="B533" t="str">
            <v>VAR_fin</v>
          </cell>
          <cell r="C533" t="str">
            <v>AUX_SCOM-SHSTG_IN</v>
          </cell>
          <cell r="D533">
            <v>5.5325483675099595E-5</v>
          </cell>
          <cell r="E533">
            <v>2.1633986938060124E-4</v>
          </cell>
          <cell r="F533">
            <v>1.5705195085860776E-4</v>
          </cell>
          <cell r="G533">
            <v>1.3885367948051434E-4</v>
          </cell>
          <cell r="H533">
            <v>5.970022830027083E-4</v>
          </cell>
          <cell r="I533">
            <v>5.4441025338533358E-3</v>
          </cell>
        </row>
        <row r="534">
          <cell r="A534" t="str">
            <v>SCOM-SHSTG</v>
          </cell>
          <cell r="B534" t="str">
            <v>VAR_fin</v>
          </cell>
          <cell r="C534" t="str">
            <v>SCOM-SHD</v>
          </cell>
          <cell r="D534">
            <v>5.5325483675099595E-5</v>
          </cell>
          <cell r="E534">
            <v>2.1633986938060124E-4</v>
          </cell>
          <cell r="F534">
            <v>1.5705195085860776E-4</v>
          </cell>
          <cell r="G534">
            <v>1.3885367948051434E-4</v>
          </cell>
          <cell r="H534">
            <v>5.970022830027083E-4</v>
          </cell>
          <cell r="I534">
            <v>5.4441025338533358E-3</v>
          </cell>
        </row>
        <row r="535">
          <cell r="A535" t="str">
            <v>SCOM-SHSTG</v>
          </cell>
          <cell r="B535" t="str">
            <v>VAR_ncap</v>
          </cell>
          <cell r="C535" t="str">
            <v>-</v>
          </cell>
          <cell r="D535">
            <v>1.63946167980983E-3</v>
          </cell>
          <cell r="E535">
            <v>1.4869942243700899E-5</v>
          </cell>
          <cell r="F535">
            <v>1.3550946577369101E-5</v>
          </cell>
          <cell r="G535">
            <v>8.19967639964513E-6</v>
          </cell>
          <cell r="H535">
            <v>8.7959776086512099E-4</v>
          </cell>
          <cell r="I535">
            <v>1.1776393693916801E-3</v>
          </cell>
        </row>
        <row r="536">
          <cell r="A536" t="str">
            <v>SCOM-SHSTG</v>
          </cell>
          <cell r="B536" t="str">
            <v>VAR_cap</v>
          </cell>
          <cell r="C536" t="str">
            <v>-</v>
          </cell>
          <cell r="D536">
            <v>1.63946167980983E-3</v>
          </cell>
          <cell r="E536">
            <v>1.650440546654187E-3</v>
          </cell>
          <cell r="F536">
            <v>1.6589949116176726E-3</v>
          </cell>
          <cell r="G536">
            <v>1.6611199874565911E-3</v>
          </cell>
          <cell r="H536">
            <v>1.8863651178336338E-3</v>
          </cell>
          <cell r="I536">
            <v>2.3906514006629674E-3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ITOT_ELC</v>
          </cell>
          <cell r="H537">
            <v>1.588014501266022E-3</v>
          </cell>
          <cell r="I537">
            <v>0.37240481826553995</v>
          </cell>
        </row>
        <row r="538">
          <cell r="A538" t="str">
            <v>D-ITOT_KEV_HFC_ELC_CHP</v>
          </cell>
          <cell r="B538" t="str">
            <v>VAR_fout</v>
          </cell>
          <cell r="C538" t="str">
            <v>ELC5</v>
          </cell>
          <cell r="H538">
            <v>3.1852912246140789E-3</v>
          </cell>
          <cell r="I538">
            <v>3.4531547011445642</v>
          </cell>
        </row>
        <row r="539">
          <cell r="A539" t="str">
            <v>D-ITOT_KEV_HFC_ELC_CHP</v>
          </cell>
          <cell r="B539" t="str">
            <v>VAR_fin</v>
          </cell>
          <cell r="C539" t="str">
            <v>ITOT_KEV_HFC_ELC_CHP</v>
          </cell>
          <cell r="H539">
            <v>4.7632141981560029E-3</v>
          </cell>
          <cell r="I539">
            <v>3.8255254571679922</v>
          </cell>
        </row>
        <row r="540">
          <cell r="A540" t="str">
            <v>D-RNGA</v>
          </cell>
          <cell r="B540" t="str">
            <v>VAR_fout</v>
          </cell>
          <cell r="C540" t="str">
            <v>CO2</v>
          </cell>
          <cell r="D540">
            <v>2654.7000088721002</v>
          </cell>
          <cell r="E540">
            <v>2593.5849153971299</v>
          </cell>
          <cell r="F540">
            <v>2598.6827264743301</v>
          </cell>
          <cell r="G540">
            <v>2103.0964389215401</v>
          </cell>
          <cell r="H540">
            <v>678.67845791849095</v>
          </cell>
          <cell r="I540">
            <v>8.77278227189605</v>
          </cell>
        </row>
        <row r="541">
          <cell r="A541" t="str">
            <v>D-RNGA</v>
          </cell>
          <cell r="B541" t="str">
            <v>VAR_fout</v>
          </cell>
          <cell r="C541" t="str">
            <v>RNGA</v>
          </cell>
          <cell r="D541">
            <v>47.229474056255469</v>
          </cell>
          <cell r="E541">
            <v>48.283065454645303</v>
          </cell>
          <cell r="F541">
            <v>46.162624408475175</v>
          </cell>
          <cell r="G541">
            <v>37.170887369556674</v>
          </cell>
          <cell r="H541">
            <v>16.917423503214632</v>
          </cell>
          <cell r="I541">
            <v>6.2822727961915836</v>
          </cell>
        </row>
        <row r="542">
          <cell r="A542" t="str">
            <v>D-RNGA</v>
          </cell>
          <cell r="B542" t="str">
            <v>VAR_fout</v>
          </cell>
          <cell r="C542" t="str">
            <v>RSH2</v>
          </cell>
          <cell r="G542">
            <v>3.3503048482452892E-3</v>
          </cell>
          <cell r="H542">
            <v>7.0038412865490386E-4</v>
          </cell>
          <cell r="I542">
            <v>3.2448838438144403E-2</v>
          </cell>
        </row>
        <row r="543">
          <cell r="A543" t="str">
            <v>D-RNGA</v>
          </cell>
          <cell r="B543" t="str">
            <v>VAR_fin</v>
          </cell>
          <cell r="C543" t="str">
            <v>NGA</v>
          </cell>
          <cell r="D543">
            <v>47.069149093476966</v>
          </cell>
          <cell r="E543">
            <v>45.985548145339216</v>
          </cell>
          <cell r="F543">
            <v>46.075934866566101</v>
          </cell>
          <cell r="G543">
            <v>37.288943952509605</v>
          </cell>
          <cell r="H543">
            <v>12.03330599146261</v>
          </cell>
          <cell r="I543">
            <v>0.15554578496269608</v>
          </cell>
        </row>
        <row r="544">
          <cell r="A544" t="str">
            <v>D-RNGA</v>
          </cell>
          <cell r="B544" t="str">
            <v>VAR_fin</v>
          </cell>
          <cell r="C544" t="str">
            <v>BNGA</v>
          </cell>
          <cell r="D544">
            <v>0.3112051657325331</v>
          </cell>
          <cell r="E544">
            <v>2.4517633359792201</v>
          </cell>
          <cell r="F544">
            <v>0.23416156608074171</v>
          </cell>
          <cell r="G544">
            <v>8.3866513001001767E-4</v>
          </cell>
          <cell r="H544">
            <v>4.9383221017812327</v>
          </cell>
          <cell r="I544">
            <v>6.1473079214459743</v>
          </cell>
        </row>
        <row r="545">
          <cell r="A545" t="str">
            <v>D-RNGA</v>
          </cell>
          <cell r="B545" t="str">
            <v>VAR_fin</v>
          </cell>
          <cell r="C545" t="str">
            <v>H2</v>
          </cell>
          <cell r="G545">
            <v>3.3469712565650394E-3</v>
          </cell>
          <cell r="H545">
            <v>6.8391293796641933E-4</v>
          </cell>
          <cell r="I545">
            <v>3.2438470377157205E-2</v>
          </cell>
        </row>
        <row r="546">
          <cell r="A546" t="str">
            <v>D-RNGA</v>
          </cell>
          <cell r="B546" t="str">
            <v>VAR_ncap</v>
          </cell>
          <cell r="C546" t="str">
            <v>-</v>
          </cell>
          <cell r="D546">
            <v>9.5534050993362393E-7</v>
          </cell>
          <cell r="E546">
            <v>2.09408741999785E-7</v>
          </cell>
          <cell r="F546">
            <v>2.89344548174244E-7</v>
          </cell>
          <cell r="G546">
            <v>2.1351429147166001E-7</v>
          </cell>
          <cell r="H546">
            <v>4.2980243488517599E-7</v>
          </cell>
          <cell r="I546">
            <v>7.2810904051517299E-7</v>
          </cell>
        </row>
        <row r="547">
          <cell r="A547" t="str">
            <v>D-RNGA</v>
          </cell>
          <cell r="B547" t="str">
            <v>VAR_cap</v>
          </cell>
          <cell r="C547" t="str">
            <v>-</v>
          </cell>
          <cell r="D547">
            <v>3.0972409627364299</v>
          </cell>
          <cell r="E547">
            <v>3.0972411721451718</v>
          </cell>
          <cell r="F547">
            <v>3.0972414614897201</v>
          </cell>
          <cell r="G547">
            <v>3.0972416750040117</v>
          </cell>
          <cell r="H547">
            <v>3.0972424379755044</v>
          </cell>
          <cell r="I547">
            <v>1.5532854067248447</v>
          </cell>
        </row>
        <row r="548">
          <cell r="A548" t="str">
            <v>RHNS-SHLTHCHPNGA</v>
          </cell>
          <cell r="B548" t="str">
            <v>VAR_fout</v>
          </cell>
          <cell r="C548" t="str">
            <v>RHNS-SHLTHC-NGA</v>
          </cell>
          <cell r="E548">
            <v>8.7904076006938654E-4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RHNSLTHCHPC</v>
          </cell>
          <cell r="E549">
            <v>8.7904076006938654E-4</v>
          </cell>
        </row>
        <row r="550">
          <cell r="A550" t="str">
            <v>RHNS-SHLTHCHPNGA</v>
          </cell>
          <cell r="B550" t="str">
            <v>VAR_fin</v>
          </cell>
          <cell r="C550" t="str">
            <v>RHNS_LTH_CHPNGA_ON</v>
          </cell>
          <cell r="E550">
            <v>8.8791995966604621E-4</v>
          </cell>
        </row>
        <row r="551">
          <cell r="A551" t="str">
            <v>RHNS-SHLTHCHPNGA</v>
          </cell>
          <cell r="B551" t="str">
            <v>VAR_ncap</v>
          </cell>
          <cell r="C551" t="str">
            <v>-</v>
          </cell>
          <cell r="E551">
            <v>1.7030592474685799E-4</v>
          </cell>
          <cell r="F551">
            <v>3.6375983125312201E-4</v>
          </cell>
          <cell r="G551">
            <v>3.6621217789079903E-4</v>
          </cell>
          <cell r="H551">
            <v>2.8234291173339201E-4</v>
          </cell>
          <cell r="I551">
            <v>2.1890682111422801E-5</v>
          </cell>
        </row>
        <row r="552">
          <cell r="A552" t="str">
            <v>RHNS-SHLTHCHPNGA</v>
          </cell>
          <cell r="B552" t="str">
            <v>VAR_cap</v>
          </cell>
          <cell r="C552" t="str">
            <v>-</v>
          </cell>
          <cell r="E552">
            <v>1.7030592474685799E-4</v>
          </cell>
          <cell r="F552">
            <v>4.4855363998634877E-4</v>
          </cell>
          <cell r="G552">
            <v>5.8968530080327807E-4</v>
          </cell>
          <cell r="H552">
            <v>4.8959853289216502E-4</v>
          </cell>
          <cell r="I552">
            <v>5.5905292154880991E-5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ELC5</v>
          </cell>
          <cell r="D553">
            <v>0.9588748529837412</v>
          </cell>
          <cell r="E553">
            <v>1.1057562451939638</v>
          </cell>
          <cell r="F553">
            <v>1.1586211073705843</v>
          </cell>
          <cell r="G553">
            <v>1.1582427032450009</v>
          </cell>
          <cell r="H553">
            <v>1.4607721380819645</v>
          </cell>
          <cell r="I553">
            <v>1.9753136735136192</v>
          </cell>
        </row>
        <row r="554">
          <cell r="A554" t="str">
            <v>D-SCOM_KEV_BIO_ELC_CHP</v>
          </cell>
          <cell r="B554" t="str">
            <v>VAR_fout</v>
          </cell>
          <cell r="C554" t="str">
            <v>SCOM_ELC</v>
          </cell>
          <cell r="D554">
            <v>5.1549726508821035E-4</v>
          </cell>
          <cell r="E554">
            <v>2.0296758247909832E-4</v>
          </cell>
          <cell r="F554">
            <v>2.5204577100390927E-4</v>
          </cell>
          <cell r="G554">
            <v>6.4812305426970983E-4</v>
          </cell>
          <cell r="H554">
            <v>1.4359339880736666</v>
          </cell>
          <cell r="I554">
            <v>1.8652087812927851</v>
          </cell>
        </row>
        <row r="555">
          <cell r="A555" t="str">
            <v>D-SCOM_KEV_BIO_ELC_CHP</v>
          </cell>
          <cell r="B555" t="str">
            <v>VAR_fin</v>
          </cell>
          <cell r="C555" t="str">
            <v>SCOM_KEV_BIO_ELC_CHP</v>
          </cell>
          <cell r="D555">
            <v>0.95939035024882946</v>
          </cell>
          <cell r="E555">
            <v>1.1059592127764419</v>
          </cell>
          <cell r="F555">
            <v>1.1588636783186652</v>
          </cell>
          <cell r="G555">
            <v>1.1588695642950515</v>
          </cell>
          <cell r="H555">
            <v>2.896658452359731</v>
          </cell>
          <cell r="I555">
            <v>3.8404860371326976</v>
          </cell>
        </row>
        <row r="556">
          <cell r="A556" t="str">
            <v>RHES-SHLTHCHPWOD</v>
          </cell>
          <cell r="B556" t="str">
            <v>VAR_ncap</v>
          </cell>
          <cell r="C556" t="str">
            <v>-</v>
          </cell>
          <cell r="G556">
            <v>8.6124704815829402E-5</v>
          </cell>
          <cell r="H556">
            <v>5.3834898032623098E-5</v>
          </cell>
          <cell r="I556">
            <v>3.5263151940219701E-5</v>
          </cell>
        </row>
        <row r="557">
          <cell r="A557" t="str">
            <v>RHES-SHLTHCHPWOD</v>
          </cell>
          <cell r="B557" t="str">
            <v>VAR_cap</v>
          </cell>
          <cell r="C557" t="str">
            <v>-</v>
          </cell>
          <cell r="G557">
            <v>8.6124704815829402E-5</v>
          </cell>
          <cell r="H557">
            <v>1.02840251868936E-4</v>
          </cell>
          <cell r="I557">
            <v>5.6878498367629499E-5</v>
          </cell>
        </row>
        <row r="558">
          <cell r="A558" t="str">
            <v>RHES-SHSTG-NGAHP</v>
          </cell>
          <cell r="B558" t="str">
            <v>VAR_fout</v>
          </cell>
          <cell r="C558" t="str">
            <v>RHES-SHANGAH</v>
          </cell>
          <cell r="F558">
            <v>1.6337338226338448E-2</v>
          </cell>
          <cell r="G558">
            <v>1.0229628877714289E-2</v>
          </cell>
          <cell r="H558">
            <v>6.3012295565033931E-3</v>
          </cell>
          <cell r="I558">
            <v>1.3322023771417033E-2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1.6411723446587187E-2</v>
          </cell>
          <cell r="G559">
            <v>1.0298701581288048E-2</v>
          </cell>
          <cell r="H559">
            <v>6.3378296000902402E-3</v>
          </cell>
          <cell r="I559">
            <v>1.3369564917505752E-2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1.9281558473690799E-5</v>
          </cell>
          <cell r="E560">
            <v>2.2661975915648199E-5</v>
          </cell>
          <cell r="F560">
            <v>2.3210660967939001E-2</v>
          </cell>
          <cell r="G560">
            <v>5.0587924539276397E-5</v>
          </cell>
          <cell r="H560">
            <v>1.5149542249043199E-2</v>
          </cell>
          <cell r="I560">
            <v>2.8266584004121801E-3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1.9281558473690799E-5</v>
          </cell>
          <cell r="E561">
            <v>1.5219189159352005E-6</v>
          </cell>
          <cell r="F561">
            <v>2.3203784834456728E-2</v>
          </cell>
          <cell r="G561">
            <v>2.3202034025909465E-2</v>
          </cell>
          <cell r="H561">
            <v>1.9304354408478476E-2</v>
          </cell>
          <cell r="I561">
            <v>1.3809679755404774E-2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2.3217123806203138E-5</v>
          </cell>
          <cell r="F562">
            <v>2.1223640859708414E-3</v>
          </cell>
          <cell r="G562">
            <v>2.3533591786654585E-3</v>
          </cell>
          <cell r="H562">
            <v>3.1275042811721291E-3</v>
          </cell>
          <cell r="I562">
            <v>4.3452992472250368E-3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2.3266675143628196E-5</v>
          </cell>
          <cell r="F563">
            <v>2.14141666642807E-3</v>
          </cell>
          <cell r="G563">
            <v>2.3719686708693366E-3</v>
          </cell>
          <cell r="H563">
            <v>3.2843122995447056E-3</v>
          </cell>
          <cell r="I563">
            <v>4.4664354676910685E-3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3.8982646521363769E-5</v>
          </cell>
          <cell r="F564">
            <v>4.2637807523989131E-3</v>
          </cell>
          <cell r="G564">
            <v>4.7253278495347911E-3</v>
          </cell>
          <cell r="H564">
            <v>6.4118165807168339E-3</v>
          </cell>
          <cell r="I564">
            <v>8.8117347149161019E-3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213.78305476884199</v>
          </cell>
          <cell r="E565">
            <v>212.86147547753001</v>
          </cell>
          <cell r="F565">
            <v>0.56703218110253595</v>
          </cell>
          <cell r="G565">
            <v>1.1974056478756901E-2</v>
          </cell>
          <cell r="H565">
            <v>1.18454943358313E-2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2.7300341378235147</v>
          </cell>
          <cell r="E566">
            <v>2.718265464535957</v>
          </cell>
          <cell r="F566">
            <v>7.2410660111872967E-3</v>
          </cell>
          <cell r="G566">
            <v>1.5291007507858736E-4</v>
          </cell>
          <cell r="H566">
            <v>1.5126832176283282E-4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2.7764033086862567</v>
          </cell>
          <cell r="E567">
            <v>2.7644347464614349</v>
          </cell>
          <cell r="F567">
            <v>7.3640543000329291E-3</v>
          </cell>
          <cell r="G567">
            <v>1.5550722699684348E-4</v>
          </cell>
          <cell r="H567">
            <v>1.5383758877702948E-4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3.0984775621418581E-4</v>
          </cell>
          <cell r="G568">
            <v>2.6438761843368571E-4</v>
          </cell>
          <cell r="H568">
            <v>6.8366897549423271E-4</v>
          </cell>
          <cell r="I568">
            <v>2.2658199825611575E-3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3.0984775621418581E-4</v>
          </cell>
          <cell r="G569">
            <v>2.6438761843368571E-4</v>
          </cell>
          <cell r="H569">
            <v>6.8366897549423271E-4</v>
          </cell>
          <cell r="I569">
            <v>2.2658199825611575E-3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1.01985981757577E-7</v>
          </cell>
          <cell r="E570">
            <v>1.3621347796100799E-7</v>
          </cell>
          <cell r="F570">
            <v>1.23425726383022E-5</v>
          </cell>
          <cell r="G570">
            <v>4.2758102938429598E-7</v>
          </cell>
          <cell r="H570">
            <v>3.1596819441996801E-6</v>
          </cell>
          <cell r="I570">
            <v>1.1369670442332701E-4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1.01985981757577E-7</v>
          </cell>
          <cell r="E571">
            <v>-5.7178161374148002E-7</v>
          </cell>
          <cell r="F571">
            <v>1.2438638199575069E-5</v>
          </cell>
          <cell r="G571">
            <v>1.2804532785653142E-5</v>
          </cell>
          <cell r="H571">
            <v>4.0565832167887925E-5</v>
          </cell>
          <cell r="I571">
            <v>1.5456984776379394E-4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0.40803192035800018</v>
          </cell>
          <cell r="E572">
            <v>0.4709107015212185</v>
          </cell>
          <cell r="F572">
            <v>1.223762884633549E-2</v>
          </cell>
          <cell r="G572">
            <v>1.5846554339605481E-2</v>
          </cell>
          <cell r="H572">
            <v>1.6415545419534411E-2</v>
          </cell>
          <cell r="I572">
            <v>1.4929424402055415E-2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0.40803192035800018</v>
          </cell>
          <cell r="E573">
            <v>0.4709107015212185</v>
          </cell>
          <cell r="F573">
            <v>1.223762884633549E-2</v>
          </cell>
          <cell r="G573">
            <v>1.5846554339605481E-2</v>
          </cell>
          <cell r="H573">
            <v>1.6415545419534411E-2</v>
          </cell>
          <cell r="I573">
            <v>1.4929424402055415E-2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2.9498208823400799E-5</v>
          </cell>
          <cell r="E574">
            <v>9.12853142911727E-3</v>
          </cell>
          <cell r="F574">
            <v>7.4965841631951197E-7</v>
          </cell>
          <cell r="G574">
            <v>1.16979800043403E-6</v>
          </cell>
          <cell r="H574">
            <v>2.5377704226591902E-3</v>
          </cell>
          <cell r="I574">
            <v>5.0740701478148699E-4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5.9284419625861701E-2</v>
          </cell>
          <cell r="E575">
            <v>6.8412741855065018E-2</v>
          </cell>
          <cell r="F575">
            <v>6.8409734038985884E-2</v>
          </cell>
          <cell r="G575">
            <v>6.8409636296838827E-2</v>
          </cell>
          <cell r="H575">
            <v>2.5410778961191677E-3</v>
          </cell>
          <cell r="I575">
            <v>2.3500831961314897E-3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1.8618984809383199E-6</v>
          </cell>
          <cell r="H576">
            <v>0.38299270623146298</v>
          </cell>
          <cell r="I576">
            <v>0.59811146872801002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1.8618984809383199E-6</v>
          </cell>
          <cell r="H577">
            <v>1.4077994434440293</v>
          </cell>
          <cell r="I577">
            <v>1.3095484709723675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0.85061622623898681</v>
          </cell>
          <cell r="F578">
            <v>0.85063301757182441</v>
          </cell>
          <cell r="G578">
            <v>0.97006135534465754</v>
          </cell>
          <cell r="H578">
            <v>0.97005921405604301</v>
          </cell>
          <cell r="I578">
            <v>0.97005827589771476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4.0437024752062882</v>
          </cell>
          <cell r="F579">
            <v>4.043782298694329</v>
          </cell>
          <cell r="G579">
            <v>4.6115267763620871</v>
          </cell>
          <cell r="H579">
            <v>4.6115165969958785</v>
          </cell>
          <cell r="I579">
            <v>4.6115121371313252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4.8943187014452754</v>
          </cell>
          <cell r="F580">
            <v>4.8944153162661523</v>
          </cell>
          <cell r="G580">
            <v>5.5815881317067451</v>
          </cell>
          <cell r="H580">
            <v>5.5815758110519234</v>
          </cell>
          <cell r="I580">
            <v>5.581570413029044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0.26617273174130601</v>
          </cell>
          <cell r="F581">
            <v>8.6589997640347199E-6</v>
          </cell>
          <cell r="G581">
            <v>3.7358887559484702E-2</v>
          </cell>
          <cell r="H581">
            <v>0.14822183915901199</v>
          </cell>
          <cell r="I581">
            <v>0.14106480215942399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0.26617273174130601</v>
          </cell>
          <cell r="F582">
            <v>0.26618139074107</v>
          </cell>
          <cell r="G582">
            <v>0.30354027830055502</v>
          </cell>
          <cell r="H582">
            <v>0.30353977899364198</v>
          </cell>
          <cell r="I582">
            <v>0.30353940284322301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9.8259610194277602E-5</v>
          </cell>
          <cell r="H583">
            <v>3.5788475651198099E-5</v>
          </cell>
          <cell r="I583">
            <v>1.98099244312219E-4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9.8259610194277602E-5</v>
          </cell>
          <cell r="H584">
            <v>5.9097139736031021E-5</v>
          </cell>
          <cell r="I584">
            <v>2.1365855973887559E-4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2.7783216823916641E-4</v>
          </cell>
          <cell r="E585">
            <v>3.7621258153561736E-4</v>
          </cell>
          <cell r="F585">
            <v>1.0360894505140585E-4</v>
          </cell>
          <cell r="G585">
            <v>6.8888557163258328E-5</v>
          </cell>
          <cell r="H585">
            <v>8.0719716161853613E-5</v>
          </cell>
          <cell r="I585">
            <v>3.0033666451857742E-5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2.7783216823916641E-4</v>
          </cell>
          <cell r="E586">
            <v>3.7621258153561736E-4</v>
          </cell>
          <cell r="F586">
            <v>9.0346252492651426E-5</v>
          </cell>
          <cell r="G586">
            <v>8.3530348976835353E-5</v>
          </cell>
          <cell r="H586">
            <v>9.5280966704543234E-5</v>
          </cell>
          <cell r="I586">
            <v>2.3920081307101807E-5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2.7819209100455001E-3</v>
          </cell>
          <cell r="E587">
            <v>2.3048781894334299E-5</v>
          </cell>
          <cell r="F587">
            <v>4.1852725278415902E-2</v>
          </cell>
          <cell r="G587">
            <v>3.4002632154925903E-2</v>
          </cell>
          <cell r="H587">
            <v>6.1876204464520301E-2</v>
          </cell>
          <cell r="I587">
            <v>3.8046035767431999E-2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2.7819209100455001E-3</v>
          </cell>
          <cell r="E588">
            <v>2.6453096175710258E-5</v>
          </cell>
          <cell r="F588">
            <v>4.186696700568112E-2</v>
          </cell>
          <cell r="G588">
            <v>7.5843264907782731E-2</v>
          </cell>
          <cell r="H588">
            <v>0.11125677427844673</v>
          </cell>
          <cell r="I588">
            <v>9.0835887526427989E-2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0.79353077374794057</v>
          </cell>
          <cell r="H589">
            <v>0.88019989400503384</v>
          </cell>
          <cell r="I589">
            <v>0.8801826493366991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1.2266467171487554</v>
          </cell>
          <cell r="H590">
            <v>1.3606205910785683</v>
          </cell>
          <cell r="I590">
            <v>1.3605939341214588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2.0201774908966943</v>
          </cell>
          <cell r="H591">
            <v>2.240820485083602</v>
          </cell>
          <cell r="I591">
            <v>2.2407765834581594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0.10986743954460799</v>
          </cell>
          <cell r="H592">
            <v>3.4831367309460202E-2</v>
          </cell>
          <cell r="I592">
            <v>9.1507902456360701E-2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0.10986743954460799</v>
          </cell>
          <cell r="H593">
            <v>0.12185826120879199</v>
          </cell>
          <cell r="I593">
            <v>0.12185744954264099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4.899555104899838E-2</v>
          </cell>
          <cell r="E594">
            <v>4.5480801645740332</v>
          </cell>
          <cell r="F594">
            <v>2.0648857520528554</v>
          </cell>
          <cell r="G594">
            <v>4.8280461996249393</v>
          </cell>
          <cell r="H594">
            <v>6.4141562700816035</v>
          </cell>
          <cell r="I594">
            <v>6.4143071553707642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4.899555104899838E-2</v>
          </cell>
          <cell r="E595">
            <v>4.5480801645740332</v>
          </cell>
          <cell r="F595">
            <v>2.0648857520528554</v>
          </cell>
          <cell r="G595">
            <v>4.8280461996249393</v>
          </cell>
          <cell r="H595">
            <v>6.4141562700816035</v>
          </cell>
          <cell r="I595">
            <v>6.4143071553707642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0.32186859955214697</v>
          </cell>
          <cell r="E596">
            <v>4.55504733256571E-2</v>
          </cell>
          <cell r="F596">
            <v>5.4179226704522897E-7</v>
          </cell>
          <cell r="G596">
            <v>2.27429059817402E-2</v>
          </cell>
          <cell r="H596">
            <v>4.57114444822775E-2</v>
          </cell>
          <cell r="I596">
            <v>0.17967935803827401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0.32186859955214697</v>
          </cell>
          <cell r="E597">
            <v>0.36741898937823664</v>
          </cell>
          <cell r="F597">
            <v>0.36741660878044707</v>
          </cell>
          <cell r="G597">
            <v>0.39016083455286088</v>
          </cell>
          <cell r="H597">
            <v>0.51820788574635879</v>
          </cell>
          <cell r="I597">
            <v>0.51821998589377138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2.3000050710853364</v>
          </cell>
          <cell r="H598">
            <v>2.3000570182203774</v>
          </cell>
          <cell r="I598">
            <v>2.3000419455190393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4.5644905350196314</v>
          </cell>
          <cell r="H599">
            <v>4.5645936270559098</v>
          </cell>
          <cell r="I599">
            <v>4.5645637144250797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6.8644956061049678</v>
          </cell>
          <cell r="H600">
            <v>6.8646506452762841</v>
          </cell>
          <cell r="I600">
            <v>6.8646056599441199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0.373313289148826</v>
          </cell>
          <cell r="H601">
            <v>0.118346340659153</v>
          </cell>
          <cell r="I601">
            <v>0.28742608470703801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0.373313289148826</v>
          </cell>
          <cell r="H602">
            <v>0.37331521793514499</v>
          </cell>
          <cell r="I602">
            <v>0.37331441944212401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6.9903958398767152E-4</v>
          </cell>
          <cell r="H603">
            <v>7.2822736660103571</v>
          </cell>
          <cell r="I603">
            <v>9.4545731035507607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6.0189386438219E-4</v>
          </cell>
          <cell r="H604">
            <v>5.9651933539327047</v>
          </cell>
          <cell r="I604">
            <v>6.9414376860546341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8.0082161194444806E-5</v>
          </cell>
          <cell r="H605">
            <v>0.39585276832438998</v>
          </cell>
          <cell r="I605">
            <v>0.11816278404797401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8.0082161194444806E-5</v>
          </cell>
          <cell r="H606">
            <v>0.39603200220118001</v>
          </cell>
          <cell r="I606">
            <v>0.51416629558251592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4.2800326421130039</v>
          </cell>
          <cell r="E607">
            <v>4.4886555179839709</v>
          </cell>
          <cell r="F607">
            <v>0.78828553994614481</v>
          </cell>
          <cell r="G607">
            <v>0.13062028208118562</v>
          </cell>
          <cell r="H607">
            <v>1.58008120912028E-3</v>
          </cell>
          <cell r="I607">
            <v>3.9987352667738343E-4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4.5052975180136903</v>
          </cell>
          <cell r="E608">
            <v>4.7249005452462809</v>
          </cell>
          <cell r="F608">
            <v>0.85923808533664625</v>
          </cell>
          <cell r="G608">
            <v>0.14237724199436466</v>
          </cell>
          <cell r="H608">
            <v>1.7223022420196593E-3</v>
          </cell>
          <cell r="I608">
            <v>4.3586561725153739E-4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1.5651587905629901E-7</v>
          </cell>
          <cell r="E609">
            <v>1.6897778484500001E-2</v>
          </cell>
          <cell r="F609">
            <v>3.3332099737660799E-7</v>
          </cell>
          <cell r="G609">
            <v>6.0659318760658803E-7</v>
          </cell>
          <cell r="H609">
            <v>1.9079690304804299E-4</v>
          </cell>
          <cell r="I609">
            <v>4.9483046772169197E-7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0.34576945639221202</v>
          </cell>
          <cell r="E610">
            <v>0.36266685939436183</v>
          </cell>
          <cell r="F610">
            <v>0.11060005905452847</v>
          </cell>
          <cell r="G610">
            <v>1.8525273443168067E-2</v>
          </cell>
          <cell r="H610">
            <v>1.9432108317437856E-4</v>
          </cell>
          <cell r="I610">
            <v>3.1679475019420004E-5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6.6447555891329877</v>
          </cell>
          <cell r="E611">
            <v>6.9687194620037616</v>
          </cell>
          <cell r="F611">
            <v>2.8153177658560145</v>
          </cell>
          <cell r="G611">
            <v>1.9200077331345617</v>
          </cell>
          <cell r="H611">
            <v>1.5906129019254351</v>
          </cell>
          <cell r="I611">
            <v>1.3727003230498087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8.4110830242189696</v>
          </cell>
          <cell r="E612">
            <v>8.7988882096007117</v>
          </cell>
          <cell r="F612">
            <v>6.04512324606665</v>
          </cell>
          <cell r="G612">
            <v>3.9457257787695501</v>
          </cell>
          <cell r="H612">
            <v>3.1465538855251056</v>
          </cell>
          <cell r="I612">
            <v>2.6359341187598866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2.7867821233949801E-5</v>
          </cell>
          <cell r="E613">
            <v>3.5080454283837402E-2</v>
          </cell>
          <cell r="F613">
            <v>6.0167613508128703E-7</v>
          </cell>
          <cell r="G613">
            <v>1.0325037291890399E-6</v>
          </cell>
          <cell r="H613">
            <v>0.13421817228038499</v>
          </cell>
          <cell r="I613">
            <v>3.2040026916489203E-2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0.43759645659491092</v>
          </cell>
          <cell r="E614">
            <v>0.47267610439009849</v>
          </cell>
          <cell r="F614">
            <v>0.32869542280117936</v>
          </cell>
          <cell r="G614">
            <v>0.24038521560510961</v>
          </cell>
          <cell r="H614">
            <v>0.18307803256003188</v>
          </cell>
          <cell r="I614">
            <v>0.15011338357171605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6.5822924397588274</v>
          </cell>
          <cell r="E615">
            <v>7.0678534843652461</v>
          </cell>
          <cell r="F615">
            <v>6.8330384772401418</v>
          </cell>
          <cell r="G615">
            <v>6.0476437984275373</v>
          </cell>
          <cell r="H615">
            <v>5.5499915384669114</v>
          </cell>
          <cell r="I615">
            <v>4.4730726076133882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7.1200232041811784</v>
          </cell>
          <cell r="E616">
            <v>7.6289113638024073</v>
          </cell>
          <cell r="F616">
            <v>7.3518867322310006</v>
          </cell>
          <cell r="G616">
            <v>6.4723824317686649</v>
          </cell>
          <cell r="H616">
            <v>5.8775019330339218</v>
          </cell>
          <cell r="I616">
            <v>4.708497481698303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6.5822924397588274</v>
          </cell>
          <cell r="E617">
            <v>7.0678534843652461</v>
          </cell>
          <cell r="F617">
            <v>6.8330384772401418</v>
          </cell>
          <cell r="G617">
            <v>6.0476437984275373</v>
          </cell>
          <cell r="H617">
            <v>5.5499915384669114</v>
          </cell>
          <cell r="I617">
            <v>4.4730726076133882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8.1766186811930597E-2</v>
          </cell>
          <cell r="F618">
            <v>0.17706475893257301</v>
          </cell>
          <cell r="G618">
            <v>7.9179477635369006E-2</v>
          </cell>
          <cell r="H618">
            <v>0.241876253000541</v>
          </cell>
          <cell r="I618">
            <v>0.113343195950305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0.56334765226415662</v>
          </cell>
          <cell r="F619">
            <v>0.68708545602793603</v>
          </cell>
          <cell r="G619">
            <v>0.51520225368533101</v>
          </cell>
          <cell r="H619">
            <v>0.44351667113047943</v>
          </cell>
          <cell r="I619">
            <v>0.3117029970732606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3.8423583633122476E-3</v>
          </cell>
          <cell r="E620">
            <v>0.4189881842188603</v>
          </cell>
          <cell r="F620">
            <v>0.20357755901787269</v>
          </cell>
          <cell r="G620">
            <v>0.42203750227072107</v>
          </cell>
          <cell r="H620">
            <v>3.3920296023898104</v>
          </cell>
          <cell r="I620">
            <v>4.668139962850069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3.8423583633122476E-3</v>
          </cell>
          <cell r="E621">
            <v>0.4189881842188603</v>
          </cell>
          <cell r="F621">
            <v>0.20357755901787269</v>
          </cell>
          <cell r="G621">
            <v>0.42203750227072107</v>
          </cell>
          <cell r="H621">
            <v>3.3920296023898104</v>
          </cell>
          <cell r="I621">
            <v>4.668139962850069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6.8851938005068999E-4</v>
          </cell>
          <cell r="E622">
            <v>3.3150406143855601E-2</v>
          </cell>
          <cell r="F622">
            <v>5.5205512319811404E-7</v>
          </cell>
          <cell r="G622">
            <v>3.6567052872970597E-4</v>
          </cell>
          <cell r="H622">
            <v>0.121121241851016</v>
          </cell>
          <cell r="I622">
            <v>0.117415179656166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6.8851938005068999E-4</v>
          </cell>
          <cell r="E623">
            <v>3.3838842448834339E-2</v>
          </cell>
          <cell r="F623">
            <v>3.3836643237723792E-2</v>
          </cell>
          <cell r="G623">
            <v>3.4203499382400693E-2</v>
          </cell>
          <cell r="H623">
            <v>0.27405591348173919</v>
          </cell>
          <cell r="I623">
            <v>0.37714197219638285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0.57458656441250955</v>
          </cell>
          <cell r="I624">
            <v>0.57458139359843785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6.174816598264651</v>
          </cell>
          <cell r="I625">
            <v>6.1747610299124851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6.7494031626771624</v>
          </cell>
          <cell r="I626">
            <v>6.7493424235109201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1.4184079810717201E-6</v>
          </cell>
          <cell r="I627">
            <v>0.211786979607199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0.36704666766783101</v>
          </cell>
          <cell r="I628">
            <v>0.367046186231339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0.66272704467409027</v>
          </cell>
          <cell r="E629">
            <v>0.51331653115185349</v>
          </cell>
          <cell r="F629">
            <v>4.9386981127960909E-2</v>
          </cell>
          <cell r="G629">
            <v>2.3314532223281049E-2</v>
          </cell>
          <cell r="H629">
            <v>1.6026594717737535E-3</v>
          </cell>
          <cell r="I629">
            <v>8.1911053145816942E-4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7.2856640304070266E-3</v>
          </cell>
          <cell r="E630">
            <v>4.7900013659403053E-3</v>
          </cell>
          <cell r="F630">
            <v>3.057828791789092E-3</v>
          </cell>
          <cell r="G630">
            <v>1.4613697563036526E-3</v>
          </cell>
          <cell r="H630">
            <v>5.186237866257706E-3</v>
          </cell>
          <cell r="I630">
            <v>1.9487796038505168E-3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0.6700127087044967</v>
          </cell>
          <cell r="E631">
            <v>0.51810653251779359</v>
          </cell>
          <cell r="F631">
            <v>5.241529872141272E-2</v>
          </cell>
          <cell r="G631">
            <v>2.474696725184317E-2</v>
          </cell>
          <cell r="H631">
            <v>6.7888973380314599E-3</v>
          </cell>
          <cell r="I631">
            <v>2.767890135308686E-3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2.3940958178526053</v>
          </cell>
          <cell r="E632">
            <v>0.59042623532111627</v>
          </cell>
          <cell r="F632">
            <v>0.52188401757408465</v>
          </cell>
          <cell r="G632">
            <v>0.2975955662010466</v>
          </cell>
          <cell r="H632">
            <v>0.20397919717852547</v>
          </cell>
          <cell r="I632">
            <v>0.1366030292737303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2.6236666497014869</v>
          </cell>
          <cell r="E633">
            <v>0.64527457412143874</v>
          </cell>
          <cell r="F633">
            <v>1.0904995696483155</v>
          </cell>
          <cell r="G633">
            <v>0.59123114852707181</v>
          </cell>
          <cell r="H633">
            <v>0.39262103869407339</v>
          </cell>
          <cell r="I633">
            <v>0.25729512627090445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5.5114397730413297E-6</v>
          </cell>
          <cell r="E634">
            <v>2.7329460090801298E-6</v>
          </cell>
          <cell r="F634">
            <v>2.4611287357635699E-6</v>
          </cell>
          <cell r="G634">
            <v>4.1468547108820902E-6</v>
          </cell>
          <cell r="H634">
            <v>1.10181373252515E-2</v>
          </cell>
          <cell r="I634">
            <v>1.4593971085293801E-5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0.18499355979121504</v>
          </cell>
          <cell r="E635">
            <v>7.5922025246968117E-2</v>
          </cell>
          <cell r="F635">
            <v>6.738287904234587E-2</v>
          </cell>
          <cell r="G635">
            <v>4.108609081891676E-2</v>
          </cell>
          <cell r="H635">
            <v>3.014119825007618E-2</v>
          </cell>
          <cell r="I635">
            <v>1.5718953554500193E-2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2.4630284469108319E-4</v>
          </cell>
          <cell r="E636">
            <v>1.7268119849044904E-3</v>
          </cell>
          <cell r="F636">
            <v>8.6173358341530852E-4</v>
          </cell>
          <cell r="G636">
            <v>1.2455968506319423E-3</v>
          </cell>
          <cell r="H636">
            <v>2.1935194417670957E-3</v>
          </cell>
          <cell r="I636">
            <v>3.5138232740110515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2.4630284469108319E-4</v>
          </cell>
          <cell r="E637">
            <v>1.7268119849044904E-3</v>
          </cell>
          <cell r="F637">
            <v>8.6173358341530852E-4</v>
          </cell>
          <cell r="G637">
            <v>1.2455968506319423E-3</v>
          </cell>
          <cell r="H637">
            <v>2.1935194417670957E-3</v>
          </cell>
          <cell r="I637">
            <v>3.5138232740110515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9.6209721236308694E-7</v>
          </cell>
          <cell r="E638">
            <v>1.2612747394720499E-4</v>
          </cell>
          <cell r="F638">
            <v>3.8470687502348198E-7</v>
          </cell>
          <cell r="G638">
            <v>6.7119982245516503E-6</v>
          </cell>
          <cell r="H638">
            <v>5.2025014007515699E-5</v>
          </cell>
          <cell r="I638">
            <v>0.28373960987891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9.6209721236308694E-7</v>
          </cell>
          <cell r="E639">
            <v>1.2702118584052483E-4</v>
          </cell>
          <cell r="F639">
            <v>1.2679760189492138E-4</v>
          </cell>
          <cell r="G639">
            <v>1.3338253379782791E-4</v>
          </cell>
          <cell r="H639">
            <v>1.8648151972717466E-4</v>
          </cell>
          <cell r="I639">
            <v>0.28387269042334634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0.50162496542328017</v>
          </cell>
          <cell r="I640">
            <v>0.50161423607488309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2.4604084935527948</v>
          </cell>
          <cell r="I641">
            <v>2.4603558674242194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2.9620334589760735</v>
          </cell>
          <cell r="I642">
            <v>2.9619701034991035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2.1217232805678298E-6</v>
          </cell>
          <cell r="I643">
            <v>9.2942131419444005E-2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0.16107859276074299</v>
          </cell>
          <cell r="I644">
            <v>0.161078156931272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2.0892200129206832E-7</v>
          </cell>
          <cell r="E645">
            <v>0.70142612721738917</v>
          </cell>
          <cell r="F645">
            <v>0.17596888996285531</v>
          </cell>
          <cell r="G645">
            <v>3.0505464804811418E-2</v>
          </cell>
          <cell r="H645">
            <v>1.4557055462732495E-4</v>
          </cell>
          <cell r="I645">
            <v>5.1947811113825169E-5</v>
          </cell>
        </row>
        <row r="646">
          <cell r="A646" t="str">
            <v>RHES-SHSTG-ELC</v>
          </cell>
          <cell r="B646" t="str">
            <v>VAR_fin</v>
          </cell>
          <cell r="C646" t="str">
            <v>RHES-SHAELCB</v>
          </cell>
          <cell r="D646">
            <v>4.8772421412327722E-5</v>
          </cell>
          <cell r="E646">
            <v>0.70145919197614071</v>
          </cell>
          <cell r="F646">
            <v>0.17597156882821507</v>
          </cell>
          <cell r="G646">
            <v>3.0507497462538235E-2</v>
          </cell>
          <cell r="H646">
            <v>1.5511997716951951E-4</v>
          </cell>
          <cell r="I646">
            <v>5.4013232133911187E-5</v>
          </cell>
        </row>
        <row r="647">
          <cell r="A647" t="str">
            <v>RHES-SHSTG-ELC</v>
          </cell>
          <cell r="B647" t="str">
            <v>VAR_ncap</v>
          </cell>
          <cell r="C647" t="str">
            <v>-</v>
          </cell>
          <cell r="D647">
            <v>1.8534397517403801E-2</v>
          </cell>
          <cell r="E647">
            <v>4.5504590164483098E-2</v>
          </cell>
          <cell r="F647">
            <v>1.6439844409611901E-5</v>
          </cell>
          <cell r="G647">
            <v>2.5937582541352199E-5</v>
          </cell>
          <cell r="H647">
            <v>3.68795713908947E-5</v>
          </cell>
          <cell r="I647">
            <v>1.19567428995604E-5</v>
          </cell>
        </row>
        <row r="648">
          <cell r="A648" t="str">
            <v>RHES-SHSTG-ELC</v>
          </cell>
          <cell r="B648" t="str">
            <v>VAR_cap</v>
          </cell>
          <cell r="C648" t="str">
            <v>-</v>
          </cell>
          <cell r="D648">
            <v>1.8534397517403801E-2</v>
          </cell>
          <cell r="E648">
            <v>6.4000707988111111E-2</v>
          </cell>
          <cell r="F648">
            <v>1.9516549212240594E-2</v>
          </cell>
          <cell r="G648">
            <v>3.2705944790782995E-3</v>
          </cell>
          <cell r="H648">
            <v>3.4670654811079293E-5</v>
          </cell>
          <cell r="I648">
            <v>1.28604435641736E-5</v>
          </cell>
        </row>
        <row r="649">
          <cell r="A649" t="str">
            <v>RHES-SHCONBR4</v>
          </cell>
          <cell r="B649" t="str">
            <v>VAR_fout</v>
          </cell>
          <cell r="C649" t="str">
            <v>RHES-SHCON</v>
          </cell>
          <cell r="D649">
            <v>2.397502462460458E-4</v>
          </cell>
          <cell r="E649">
            <v>8.318063042469816E-4</v>
          </cell>
          <cell r="F649">
            <v>4.3907142831275801E-4</v>
          </cell>
          <cell r="G649">
            <v>5.3167330811344023E-4</v>
          </cell>
          <cell r="H649">
            <v>7.120858558494859E-4</v>
          </cell>
          <cell r="I649">
            <v>8.5163425094119706E-3</v>
          </cell>
        </row>
        <row r="650">
          <cell r="A650" t="str">
            <v>RHES-SHCONBR4</v>
          </cell>
          <cell r="B650" t="str">
            <v>VAR_fin</v>
          </cell>
          <cell r="C650" t="str">
            <v>CON</v>
          </cell>
          <cell r="D650">
            <v>2.397502462460458E-4</v>
          </cell>
          <cell r="E650">
            <v>8.318063042469816E-4</v>
          </cell>
          <cell r="F650">
            <v>4.3907142831275801E-4</v>
          </cell>
          <cell r="G650">
            <v>5.3167330811344023E-4</v>
          </cell>
          <cell r="H650">
            <v>7.120858558494859E-4</v>
          </cell>
          <cell r="I650">
            <v>8.5163425094119706E-3</v>
          </cell>
        </row>
        <row r="651">
          <cell r="A651" t="str">
            <v>RHES-SHCONBR4</v>
          </cell>
          <cell r="B651" t="str">
            <v>VAR_ncap</v>
          </cell>
          <cell r="C651" t="str">
            <v>-</v>
          </cell>
          <cell r="D651">
            <v>5.3538454247146704E-7</v>
          </cell>
          <cell r="E651">
            <v>5.3731536857957E-5</v>
          </cell>
          <cell r="F651">
            <v>5.3919284413639702E-7</v>
          </cell>
          <cell r="G651">
            <v>5.1744023210362897E-6</v>
          </cell>
          <cell r="H651">
            <v>2.8560484361114402E-7</v>
          </cell>
          <cell r="I651">
            <v>6.4831434614707095E-4</v>
          </cell>
        </row>
        <row r="652">
          <cell r="A652" t="str">
            <v>RHES-SHCONBR4</v>
          </cell>
          <cell r="B652" t="str">
            <v>VAR_cap</v>
          </cell>
          <cell r="C652" t="str">
            <v>-</v>
          </cell>
          <cell r="D652">
            <v>5.3538454247146704E-7</v>
          </cell>
          <cell r="E652">
            <v>5.4205075022968747E-5</v>
          </cell>
          <cell r="F652">
            <v>5.4395351940560086E-5</v>
          </cell>
          <cell r="G652">
            <v>5.9424607241977336E-5</v>
          </cell>
          <cell r="H652">
            <v>5.9998815849383891E-5</v>
          </cell>
          <cell r="I652">
            <v>6.8553798762582764E-4</v>
          </cell>
        </row>
        <row r="653">
          <cell r="A653" t="str">
            <v>ITOT-SWHCONBR6</v>
          </cell>
          <cell r="B653" t="str">
            <v>VAR_fout</v>
          </cell>
          <cell r="C653" t="str">
            <v>ITOT-SWHC</v>
          </cell>
          <cell r="H653">
            <v>2.5108710076242291</v>
          </cell>
          <cell r="I653">
            <v>2.5108233846928933</v>
          </cell>
        </row>
        <row r="654">
          <cell r="A654" t="str">
            <v>ITOT-SWHCONBR6</v>
          </cell>
          <cell r="B654" t="str">
            <v>VAR_fin</v>
          </cell>
          <cell r="C654" t="str">
            <v>CON</v>
          </cell>
          <cell r="H654">
            <v>2.5108710076242291</v>
          </cell>
          <cell r="I654">
            <v>2.5108233846928933</v>
          </cell>
        </row>
        <row r="655">
          <cell r="A655" t="str">
            <v>ITOT-SWHCONBR6</v>
          </cell>
          <cell r="B655" t="str">
            <v>VAR_ncap</v>
          </cell>
          <cell r="C655" t="str">
            <v>-</v>
          </cell>
          <cell r="H655">
            <v>0.13654231556143001</v>
          </cell>
          <cell r="I655">
            <v>3.7449962630499198E-2</v>
          </cell>
        </row>
        <row r="656">
          <cell r="A656" t="str">
            <v>ITOT-SWHCONBR6</v>
          </cell>
          <cell r="B656" t="str">
            <v>VAR_cap</v>
          </cell>
          <cell r="C656" t="str">
            <v>-</v>
          </cell>
          <cell r="H656">
            <v>0.13654231556143001</v>
          </cell>
          <cell r="I656">
            <v>0.13654329846104801</v>
          </cell>
        </row>
        <row r="657">
          <cell r="A657" t="str">
            <v>RHNM-SHNGAHP</v>
          </cell>
          <cell r="B657" t="str">
            <v>VAR_fout</v>
          </cell>
          <cell r="C657" t="str">
            <v>CO2_R</v>
          </cell>
          <cell r="F657">
            <v>8.8789643011229806</v>
          </cell>
          <cell r="G657">
            <v>20.0306871093334</v>
          </cell>
          <cell r="H657">
            <v>28.776673580627701</v>
          </cell>
          <cell r="I657">
            <v>26.858815980022399</v>
          </cell>
        </row>
        <row r="658">
          <cell r="A658" t="str">
            <v>RHNM-SHNGAHP</v>
          </cell>
          <cell r="B658" t="str">
            <v>VAR_fout</v>
          </cell>
          <cell r="C658" t="str">
            <v>RHNM-SHANGAH</v>
          </cell>
          <cell r="F658">
            <v>0.30380727701923399</v>
          </cell>
          <cell r="G658">
            <v>0.71110430248582068</v>
          </cell>
          <cell r="H658">
            <v>1.0543869511328916</v>
          </cell>
          <cell r="I658">
            <v>1.0088228199305178</v>
          </cell>
        </row>
        <row r="659">
          <cell r="A659" t="str">
            <v>RHNM-SHNGAHP</v>
          </cell>
          <cell r="B659" t="str">
            <v>VAR_fin</v>
          </cell>
          <cell r="C659" t="str">
            <v>RNGA</v>
          </cell>
          <cell r="F659">
            <v>0.15742844505537201</v>
          </cell>
          <cell r="G659">
            <v>0.35515402676122959</v>
          </cell>
          <cell r="H659">
            <v>0.51022470887637816</v>
          </cell>
          <cell r="I659">
            <v>0.47622014148975983</v>
          </cell>
        </row>
        <row r="660">
          <cell r="A660" t="str">
            <v>RHNM-SHNGAHP</v>
          </cell>
          <cell r="B660" t="str">
            <v>VAR_fin</v>
          </cell>
          <cell r="C660" t="str">
            <v>RHNMELCHPC</v>
          </cell>
          <cell r="F660">
            <v>0.30380727701923399</v>
          </cell>
          <cell r="G660">
            <v>0.71110430248582068</v>
          </cell>
          <cell r="H660">
            <v>1.0543869511328916</v>
          </cell>
          <cell r="I660">
            <v>1.0088228199305178</v>
          </cell>
        </row>
        <row r="661">
          <cell r="A661" t="str">
            <v>RHNM-SHNGAHP</v>
          </cell>
          <cell r="B661" t="str">
            <v>VAR_ncap</v>
          </cell>
          <cell r="C661" t="str">
            <v>-</v>
          </cell>
          <cell r="E661">
            <v>2.6744849208457699E-6</v>
          </cell>
          <cell r="F661">
            <v>2.3726927192299099E-2</v>
          </cell>
          <cell r="G661">
            <v>3.15415073378605E-2</v>
          </cell>
          <cell r="H661">
            <v>3.7489898016390098E-2</v>
          </cell>
          <cell r="I661">
            <v>4.3472377922273202E-2</v>
          </cell>
        </row>
        <row r="662">
          <cell r="A662" t="str">
            <v>RHNM-SHNGAHP</v>
          </cell>
          <cell r="B662" t="str">
            <v>VAR_cap</v>
          </cell>
          <cell r="C662" t="str">
            <v>-</v>
          </cell>
          <cell r="E662">
            <v>2.6744849208457699E-6</v>
          </cell>
          <cell r="F662">
            <v>2.372921901773441E-2</v>
          </cell>
          <cell r="G662">
            <v>5.5270427101582205E-2</v>
          </cell>
          <cell r="H662">
            <v>8.1977470942887654E-2</v>
          </cell>
          <cell r="I662">
            <v>7.860808007902563E-2</v>
          </cell>
        </row>
        <row r="663">
          <cell r="A663" t="str">
            <v>D-SCOM_KEV_WOD_ELC_CHP</v>
          </cell>
          <cell r="B663" t="str">
            <v>VAR_fout</v>
          </cell>
          <cell r="C663" t="str">
            <v>ELC5</v>
          </cell>
          <cell r="G663">
            <v>2.9492774310044322E-4</v>
          </cell>
          <cell r="H663">
            <v>1.4958504212026521E-4</v>
          </cell>
          <cell r="I663">
            <v>9.4984791888168057E-4</v>
          </cell>
        </row>
        <row r="664">
          <cell r="A664" t="str">
            <v>D-SCOM_KEV_WOD_ELC_CHP</v>
          </cell>
          <cell r="B664" t="str">
            <v>VAR_fout</v>
          </cell>
          <cell r="C664" t="str">
            <v>SCOM_ELC</v>
          </cell>
          <cell r="G664">
            <v>2.1360888553968027E-4</v>
          </cell>
          <cell r="H664">
            <v>1.4983974130508172E-4</v>
          </cell>
          <cell r="I664">
            <v>9.4897765891811066E-4</v>
          </cell>
        </row>
        <row r="665">
          <cell r="A665" t="str">
            <v>D-SCOM_KEV_WOD_ELC_CHP</v>
          </cell>
          <cell r="B665" t="str">
            <v>VAR_fin</v>
          </cell>
          <cell r="C665" t="str">
            <v>SCOM_KEV_WOD_ELC_CHP</v>
          </cell>
          <cell r="G665">
            <v>4.8544919505239215E-4</v>
          </cell>
          <cell r="H665">
            <v>2.4517880376781622E-4</v>
          </cell>
          <cell r="I665">
            <v>1.8637775957111846E-3</v>
          </cell>
        </row>
        <row r="666">
          <cell r="A666" t="str">
            <v>RHES-SHCONBR5</v>
          </cell>
          <cell r="B666" t="str">
            <v>VAR_fout</v>
          </cell>
          <cell r="C666" t="str">
            <v>RHES-SHCON</v>
          </cell>
          <cell r="D666">
            <v>2.3647577627104776E-4</v>
          </cell>
          <cell r="E666">
            <v>4.2431568305647318E-4</v>
          </cell>
          <cell r="F666">
            <v>2.5396881487833861E-4</v>
          </cell>
          <cell r="G666">
            <v>3.1360409546584241E-4</v>
          </cell>
          <cell r="H666">
            <v>4.256196403380259E-4</v>
          </cell>
          <cell r="I666">
            <v>3.965614031356861E-4</v>
          </cell>
        </row>
        <row r="667">
          <cell r="A667" t="str">
            <v>RHES-SHCONBR5</v>
          </cell>
          <cell r="B667" t="str">
            <v>VAR_fin</v>
          </cell>
          <cell r="C667" t="str">
            <v>CON</v>
          </cell>
          <cell r="D667">
            <v>2.3647577627104776E-4</v>
          </cell>
          <cell r="E667">
            <v>4.2431568305647318E-4</v>
          </cell>
          <cell r="F667">
            <v>2.5396881487833861E-4</v>
          </cell>
          <cell r="G667">
            <v>3.1360409546584241E-4</v>
          </cell>
          <cell r="H667">
            <v>4.256196403380259E-4</v>
          </cell>
          <cell r="I667">
            <v>3.965614031356861E-4</v>
          </cell>
        </row>
        <row r="668">
          <cell r="A668" t="str">
            <v>RHES-SHCONBR5</v>
          </cell>
          <cell r="B668" t="str">
            <v>VAR_ncap</v>
          </cell>
          <cell r="C668" t="str">
            <v>-</v>
          </cell>
          <cell r="D668">
            <v>3.5598834181620499E-7</v>
          </cell>
          <cell r="E668">
            <v>2.0709981114624599E-5</v>
          </cell>
          <cell r="F668">
            <v>1.0874861756456499E-6</v>
          </cell>
          <cell r="G668">
            <v>1.1089998626325099E-5</v>
          </cell>
          <cell r="H668">
            <v>1.8849269895535301E-7</v>
          </cell>
          <cell r="I668">
            <v>2.7383788233843499E-6</v>
          </cell>
        </row>
        <row r="669">
          <cell r="A669" t="str">
            <v>RHES-SHCONBR5</v>
          </cell>
          <cell r="B669" t="str">
            <v>VAR_cap</v>
          </cell>
          <cell r="C669" t="str">
            <v>-</v>
          </cell>
          <cell r="D669">
            <v>3.5598834181620499E-7</v>
          </cell>
          <cell r="E669">
            <v>2.1010959962938168E-5</v>
          </cell>
          <cell r="F669">
            <v>2.1877239502265101E-5</v>
          </cell>
          <cell r="G669">
            <v>3.2820226106667285E-5</v>
          </cell>
          <cell r="H669">
            <v>3.3157285915803499E-5</v>
          </cell>
          <cell r="I669">
            <v>2.6993167097852035E-5</v>
          </cell>
        </row>
        <row r="670">
          <cell r="A670" t="str">
            <v>RHNS-SHCONBR</v>
          </cell>
          <cell r="B670" t="str">
            <v>VAR_fout</v>
          </cell>
          <cell r="C670" t="str">
            <v>RHNS-SHCON</v>
          </cell>
          <cell r="F670">
            <v>3.7241261032550585E-3</v>
          </cell>
          <cell r="G670">
            <v>1.0349456399818173E-2</v>
          </cell>
          <cell r="H670">
            <v>0.19291850570083702</v>
          </cell>
          <cell r="I670">
            <v>0.21454813694129687</v>
          </cell>
        </row>
        <row r="671">
          <cell r="A671" t="str">
            <v>RHNS-SHCONBR</v>
          </cell>
          <cell r="B671" t="str">
            <v>VAR_fin</v>
          </cell>
          <cell r="C671" t="str">
            <v>CON</v>
          </cell>
          <cell r="F671">
            <v>3.7241261032550585E-3</v>
          </cell>
          <cell r="G671">
            <v>1.0349456399818173E-2</v>
          </cell>
          <cell r="H671">
            <v>0.19291850570083702</v>
          </cell>
          <cell r="I671">
            <v>0.21454813694129687</v>
          </cell>
        </row>
        <row r="672">
          <cell r="A672" t="str">
            <v>RHNS-SHCONBR</v>
          </cell>
          <cell r="B672" t="str">
            <v>VAR_ncap</v>
          </cell>
          <cell r="C672" t="str">
            <v>-</v>
          </cell>
          <cell r="E672">
            <v>1.1270205099847001E-7</v>
          </cell>
          <cell r="F672">
            <v>2.6158994872302002E-4</v>
          </cell>
          <cell r="G672">
            <v>4.8357077776669302E-4</v>
          </cell>
          <cell r="H672">
            <v>1.3146753104403301E-2</v>
          </cell>
          <cell r="I672">
            <v>1.5754571438003899E-3</v>
          </cell>
        </row>
        <row r="673">
          <cell r="A673" t="str">
            <v>RHNS-SHCONBR</v>
          </cell>
          <cell r="B673" t="str">
            <v>VAR_cap</v>
          </cell>
          <cell r="C673" t="str">
            <v>-</v>
          </cell>
          <cell r="E673">
            <v>1.1270205099847001E-7</v>
          </cell>
          <cell r="F673">
            <v>2.6162585730225363E-4</v>
          </cell>
          <cell r="G673">
            <v>7.4517655229788457E-4</v>
          </cell>
          <cell r="H673">
            <v>1.4031614890165479E-2</v>
          </cell>
          <cell r="I673">
            <v>1.5607255449001158E-2</v>
          </cell>
        </row>
        <row r="674">
          <cell r="A674" t="str">
            <v>D-RHEM_SOLELC</v>
          </cell>
          <cell r="B674" t="str">
            <v>VAR_fout</v>
          </cell>
          <cell r="C674" t="str">
            <v>ELC5</v>
          </cell>
          <cell r="D674">
            <v>0.29169426900808593</v>
          </cell>
          <cell r="E674">
            <v>0.66881405581589781</v>
          </cell>
          <cell r="F674">
            <v>0.94092166989041037</v>
          </cell>
          <cell r="G674">
            <v>1.0161278125474587</v>
          </cell>
          <cell r="H674">
            <v>1.1394951311625772</v>
          </cell>
          <cell r="I674">
            <v>1.197409180653763</v>
          </cell>
        </row>
        <row r="675">
          <cell r="A675" t="str">
            <v>D-RHEM_SOLELC</v>
          </cell>
          <cell r="B675" t="str">
            <v>VAR_fout</v>
          </cell>
          <cell r="C675" t="str">
            <v>RHEM_ELC</v>
          </cell>
          <cell r="D675">
            <v>0.5707889567777622</v>
          </cell>
          <cell r="E675">
            <v>0.61877669463467622</v>
          </cell>
          <cell r="F675">
            <v>0.82776835604678245</v>
          </cell>
          <cell r="G675">
            <v>0.89889469195666605</v>
          </cell>
          <cell r="H675">
            <v>0.98089438241882654</v>
          </cell>
          <cell r="I675">
            <v>1.144879649675054</v>
          </cell>
        </row>
        <row r="676">
          <cell r="A676" t="str">
            <v>D-RHEM_SOLELC</v>
          </cell>
          <cell r="B676" t="str">
            <v>VAR_fin</v>
          </cell>
          <cell r="C676" t="str">
            <v>RHEM_SOL_ELC</v>
          </cell>
          <cell r="D676">
            <v>0.86248322578584768</v>
          </cell>
          <cell r="E676">
            <v>1.2875827463657756</v>
          </cell>
          <cell r="F676">
            <v>1.768690025937194</v>
          </cell>
          <cell r="G676">
            <v>1.9150225045041256</v>
          </cell>
          <cell r="H676">
            <v>2.120389513581403</v>
          </cell>
          <cell r="I676">
            <v>2.3422888303288163</v>
          </cell>
        </row>
        <row r="677">
          <cell r="A677" t="str">
            <v>ITOT-SWHCONBR7</v>
          </cell>
          <cell r="B677" t="str">
            <v>VAR_fout</v>
          </cell>
          <cell r="C677" t="str">
            <v>ITOT-ELS</v>
          </cell>
          <cell r="H677">
            <v>0.40460936661189761</v>
          </cell>
          <cell r="I677">
            <v>0.40459356251347339</v>
          </cell>
        </row>
        <row r="678">
          <cell r="A678" t="str">
            <v>ITOT-SWHCONBR7</v>
          </cell>
          <cell r="B678" t="str">
            <v>VAR_fout</v>
          </cell>
          <cell r="C678" t="str">
            <v>ITOT-SWHC</v>
          </cell>
          <cell r="H678">
            <v>7.0554830975323418E-2</v>
          </cell>
          <cell r="I678">
            <v>7.055207509376181E-2</v>
          </cell>
        </row>
        <row r="679">
          <cell r="A679" t="str">
            <v>ITOT-SWHCONBR7</v>
          </cell>
          <cell r="B679" t="str">
            <v>VAR_fin</v>
          </cell>
          <cell r="C679" t="str">
            <v>CON</v>
          </cell>
          <cell r="H679">
            <v>0.47516419758722112</v>
          </cell>
          <cell r="I679">
            <v>0.47514563760723544</v>
          </cell>
        </row>
        <row r="680">
          <cell r="A680" t="str">
            <v>ITOT-SWHCONBR7</v>
          </cell>
          <cell r="B680" t="str">
            <v>VAR_ncap</v>
          </cell>
          <cell r="C680" t="str">
            <v>-</v>
          </cell>
          <cell r="H680">
            <v>2.5837784308992098E-2</v>
          </cell>
          <cell r="I680">
            <v>7.0878371525096304E-3</v>
          </cell>
        </row>
        <row r="681">
          <cell r="A681" t="str">
            <v>ITOT-SWHCONBR7</v>
          </cell>
          <cell r="B681" t="str">
            <v>VAR_cap</v>
          </cell>
          <cell r="C681" t="str">
            <v>-</v>
          </cell>
          <cell r="H681">
            <v>2.5837784308992098E-2</v>
          </cell>
          <cell r="I681">
            <v>2.5839183408215598E-2</v>
          </cell>
        </row>
        <row r="682">
          <cell r="A682" t="str">
            <v>RHNS-SHSTG-ELCHP</v>
          </cell>
          <cell r="B682" t="str">
            <v>VAR_fout</v>
          </cell>
          <cell r="C682" t="str">
            <v>RHNS-SHAELCH</v>
          </cell>
          <cell r="E682">
            <v>7.0469316079700738E-3</v>
          </cell>
          <cell r="F682">
            <v>0.14620364619278192</v>
          </cell>
          <cell r="G682">
            <v>0.30973176336457081</v>
          </cell>
          <cell r="H682">
            <v>0.33417788950856325</v>
          </cell>
          <cell r="I682">
            <v>0.38259875946373495</v>
          </cell>
        </row>
        <row r="683">
          <cell r="A683" t="str">
            <v>RHNS-SHSTG-ELCHP</v>
          </cell>
          <cell r="B683" t="str">
            <v>VAR_fin</v>
          </cell>
          <cell r="C683" t="str">
            <v>RHNS-SHAELCH</v>
          </cell>
          <cell r="E683">
            <v>7.0730649221325635E-3</v>
          </cell>
          <cell r="F683">
            <v>0.14621372124056092</v>
          </cell>
          <cell r="G683">
            <v>0.30975621816772891</v>
          </cell>
          <cell r="H683">
            <v>0.33423057349267327</v>
          </cell>
          <cell r="I683">
            <v>0.38264204145682351</v>
          </cell>
        </row>
        <row r="684">
          <cell r="A684" t="str">
            <v>RHNS-SHSTG-ELCHP</v>
          </cell>
          <cell r="B684" t="str">
            <v>VAR_ncap</v>
          </cell>
          <cell r="C684" t="str">
            <v>-</v>
          </cell>
          <cell r="D684">
            <v>7.1479281920666199E-5</v>
          </cell>
          <cell r="E684">
            <v>1.09669828545809E-3</v>
          </cell>
          <cell r="F684">
            <v>1.3243177669921301E-2</v>
          </cell>
          <cell r="G684">
            <v>8.1692117470059892E-3</v>
          </cell>
          <cell r="H684">
            <v>1.6925796281010499E-2</v>
          </cell>
          <cell r="I684">
            <v>2.2204950482682399E-2</v>
          </cell>
        </row>
        <row r="685">
          <cell r="A685" t="str">
            <v>RHNS-SHSTG-ELCHP</v>
          </cell>
          <cell r="B685" t="str">
            <v>VAR_cap</v>
          </cell>
          <cell r="C685" t="str">
            <v>-</v>
          </cell>
          <cell r="D685">
            <v>7.1479281920666199E-5</v>
          </cell>
          <cell r="E685">
            <v>1.1447052386827814E-3</v>
          </cell>
          <cell r="F685">
            <v>1.4362525675000352E-2</v>
          </cell>
          <cell r="G685">
            <v>2.2507490534254364E-2</v>
          </cell>
          <cell r="H685">
            <v>3.0781426387881578E-2</v>
          </cell>
          <cell r="I685">
            <v>3.6973567045825197E-2</v>
          </cell>
        </row>
        <row r="686">
          <cell r="A686" t="str">
            <v>RHNS-SHSOLBR</v>
          </cell>
          <cell r="B686" t="str">
            <v>VAR_fout</v>
          </cell>
          <cell r="C686" t="str">
            <v>RHNS-SHASOL</v>
          </cell>
          <cell r="E686">
            <v>1.3421700316058955E-2</v>
          </cell>
          <cell r="F686">
            <v>1.1418271036843015E-4</v>
          </cell>
          <cell r="G686">
            <v>1.2367617875744688E-3</v>
          </cell>
          <cell r="H686">
            <v>1.9393321560963904E-3</v>
          </cell>
          <cell r="I686">
            <v>3.0024200904072238E-3</v>
          </cell>
        </row>
        <row r="687">
          <cell r="A687" t="str">
            <v>RHNS-SHSOLBR</v>
          </cell>
          <cell r="B687" t="str">
            <v>VAR_fin</v>
          </cell>
          <cell r="C687" t="str">
            <v>SOL</v>
          </cell>
          <cell r="E687">
            <v>1.3421700316058955E-2</v>
          </cell>
          <cell r="F687">
            <v>1.1418271036843015E-4</v>
          </cell>
          <cell r="G687">
            <v>1.2367617875744688E-3</v>
          </cell>
          <cell r="H687">
            <v>1.9393321560963904E-3</v>
          </cell>
          <cell r="I687">
            <v>3.0024200904072238E-3</v>
          </cell>
        </row>
        <row r="688">
          <cell r="A688" t="str">
            <v>RHNS-SHSOLBR</v>
          </cell>
          <cell r="B688" t="str">
            <v>VAR_ncap</v>
          </cell>
          <cell r="C688" t="str">
            <v>-</v>
          </cell>
          <cell r="E688">
            <v>2.0305609220928398E-3</v>
          </cell>
          <cell r="F688">
            <v>3.4625117869688702E-5</v>
          </cell>
          <cell r="G688">
            <v>2.1999146073776898E-5</v>
          </cell>
          <cell r="H688">
            <v>1.35556089740951E-4</v>
          </cell>
          <cell r="I688">
            <v>3.2843410874593701E-4</v>
          </cell>
        </row>
        <row r="689">
          <cell r="A689" t="str">
            <v>RHNS-SHSOLBR</v>
          </cell>
          <cell r="B689" t="str">
            <v>VAR_cap</v>
          </cell>
          <cell r="C689" t="str">
            <v>-</v>
          </cell>
          <cell r="E689">
            <v>2.0305609220928398E-3</v>
          </cell>
          <cell r="F689">
            <v>2.027865999007407E-3</v>
          </cell>
          <cell r="G689">
            <v>2.045777442155883E-3</v>
          </cell>
          <cell r="H689">
            <v>4.6753872459246457E-4</v>
          </cell>
          <cell r="I689">
            <v>5.5825582367113901E-4</v>
          </cell>
        </row>
        <row r="690">
          <cell r="A690" t="str">
            <v>RHES-SHPLTBR</v>
          </cell>
          <cell r="B690" t="str">
            <v>VAR_fout</v>
          </cell>
          <cell r="C690" t="str">
            <v>RHES-SHPLT</v>
          </cell>
          <cell r="D690">
            <v>1.2957851008617991</v>
          </cell>
          <cell r="E690">
            <v>1.4868920485006114</v>
          </cell>
          <cell r="F690">
            <v>2.5281481999352422E-2</v>
          </cell>
          <cell r="G690">
            <v>2.1590563986800853E-2</v>
          </cell>
          <cell r="H690">
            <v>1.288649237895345E-2</v>
          </cell>
          <cell r="I690">
            <v>6.8900423103869226E-3</v>
          </cell>
        </row>
        <row r="691">
          <cell r="A691" t="str">
            <v>RHES-SHPLTBR</v>
          </cell>
          <cell r="B691" t="str">
            <v>VAR_fin</v>
          </cell>
          <cell r="C691" t="str">
            <v>RPLT</v>
          </cell>
          <cell r="D691">
            <v>1.4397612231797776</v>
          </cell>
          <cell r="E691">
            <v>1.6521022761117909</v>
          </cell>
          <cell r="F691">
            <v>3.5107941361432186E-2</v>
          </cell>
          <cell r="G691">
            <v>2.9842882351574521E-2</v>
          </cell>
          <cell r="H691">
            <v>1.7789088761925014E-2</v>
          </cell>
          <cell r="I691">
            <v>9.0653001508701724E-3</v>
          </cell>
        </row>
        <row r="692">
          <cell r="A692" t="str">
            <v>RHES-SHPLTBR</v>
          </cell>
          <cell r="B692" t="str">
            <v>VAR_ncap</v>
          </cell>
          <cell r="C692" t="str">
            <v>-</v>
          </cell>
          <cell r="E692">
            <v>1.54537696154869E-2</v>
          </cell>
          <cell r="F692">
            <v>1.3148587909962299E-7</v>
          </cell>
          <cell r="G692">
            <v>4.5945691596820201E-7</v>
          </cell>
          <cell r="H692">
            <v>1.0235532813186799E-3</v>
          </cell>
          <cell r="I692">
            <v>1.76683361013941E-7</v>
          </cell>
        </row>
        <row r="693">
          <cell r="A693" t="str">
            <v>RHES-SHPLTBR</v>
          </cell>
          <cell r="B693" t="str">
            <v>VAR_cap</v>
          </cell>
          <cell r="C693" t="str">
            <v>-</v>
          </cell>
          <cell r="D693">
            <v>0.104681131456585</v>
          </cell>
          <cell r="E693">
            <v>0.120134816089325</v>
          </cell>
          <cell r="F693">
            <v>2.9772904858850063E-3</v>
          </cell>
          <cell r="G693">
            <v>2.9275050964180094E-3</v>
          </cell>
          <cell r="H693">
            <v>1.0559624200844019E-3</v>
          </cell>
          <cell r="I693">
            <v>7.5320324147979669E-4</v>
          </cell>
        </row>
        <row r="694">
          <cell r="A694" t="str">
            <v>RHES-SHCONBR6</v>
          </cell>
          <cell r="B694" t="str">
            <v>VAR_fout</v>
          </cell>
          <cell r="C694" t="str">
            <v>RHES-SHCON</v>
          </cell>
          <cell r="D694">
            <v>2.3556302741098014E-4</v>
          </cell>
          <cell r="E694">
            <v>2.1224455351489307E-4</v>
          </cell>
          <cell r="F694">
            <v>1.6749261203117773E-4</v>
          </cell>
          <cell r="G694">
            <v>1.6885120163844298E-4</v>
          </cell>
          <cell r="H694">
            <v>2.233970593889562E-4</v>
          </cell>
          <cell r="I694">
            <v>2.112473760456769E-4</v>
          </cell>
        </row>
        <row r="695">
          <cell r="A695" t="str">
            <v>RHES-SHCONBR6</v>
          </cell>
          <cell r="B695" t="str">
            <v>VAR_fin</v>
          </cell>
          <cell r="C695" t="str">
            <v>CON</v>
          </cell>
          <cell r="D695">
            <v>2.3556302741098014E-4</v>
          </cell>
          <cell r="E695">
            <v>2.1224455351489307E-4</v>
          </cell>
          <cell r="F695">
            <v>1.6749261203117773E-4</v>
          </cell>
          <cell r="G695">
            <v>1.6885120163844298E-4</v>
          </cell>
          <cell r="H695">
            <v>2.233970593889562E-4</v>
          </cell>
          <cell r="I695">
            <v>2.112473760456769E-4</v>
          </cell>
        </row>
        <row r="696">
          <cell r="A696" t="str">
            <v>RHES-SHCONBR6</v>
          </cell>
          <cell r="B696" t="str">
            <v>VAR_ncap</v>
          </cell>
          <cell r="C696" t="str">
            <v>-</v>
          </cell>
          <cell r="D696">
            <v>1.9303628900528E-7</v>
          </cell>
          <cell r="E696">
            <v>3.5893530094997702E-6</v>
          </cell>
          <cell r="F696">
            <v>2.12790644807035E-6</v>
          </cell>
          <cell r="G696">
            <v>6.6013113377260696E-6</v>
          </cell>
          <cell r="H696">
            <v>9.6967867679129701E-8</v>
          </cell>
          <cell r="I696">
            <v>1.68320808554434E-7</v>
          </cell>
        </row>
        <row r="697">
          <cell r="A697" t="str">
            <v>RHES-SHCONBR6</v>
          </cell>
          <cell r="B697" t="str">
            <v>VAR_cap</v>
          </cell>
          <cell r="C697" t="str">
            <v>-</v>
          </cell>
          <cell r="D697">
            <v>1.9303628900528E-7</v>
          </cell>
          <cell r="E697">
            <v>3.7346689798330631E-6</v>
          </cell>
          <cell r="F697">
            <v>5.71521240916135E-6</v>
          </cell>
          <cell r="G697">
            <v>1.2217577562959034E-5</v>
          </cell>
          <cell r="H697">
            <v>1.2343504854832016E-5</v>
          </cell>
          <cell r="I697">
            <v>1.0638152053953337E-5</v>
          </cell>
        </row>
        <row r="698">
          <cell r="A698" t="str">
            <v>RHSA-WHPLTBR</v>
          </cell>
          <cell r="B698" t="str">
            <v>VAR_fout</v>
          </cell>
          <cell r="C698" t="str">
            <v>RHSA-WHPLT</v>
          </cell>
          <cell r="D698">
            <v>0.16982212575043804</v>
          </cell>
          <cell r="E698">
            <v>0.19484429373600645</v>
          </cell>
          <cell r="F698">
            <v>3.8123747283532246E-2</v>
          </cell>
          <cell r="G698">
            <v>3.436696891305633E-2</v>
          </cell>
          <cell r="H698">
            <v>2.2846258996487512E-2</v>
          </cell>
          <cell r="I698">
            <v>8.9884563151394724E-3</v>
          </cell>
        </row>
        <row r="699">
          <cell r="A699" t="str">
            <v>RHSA-WHPLTBR</v>
          </cell>
          <cell r="B699" t="str">
            <v>VAR_fin</v>
          </cell>
          <cell r="C699" t="str">
            <v>RPLT</v>
          </cell>
          <cell r="D699">
            <v>0.27171540120070103</v>
          </cell>
          <cell r="E699">
            <v>0.31175086997761037</v>
          </cell>
          <cell r="F699">
            <v>8.6403185969726667E-2</v>
          </cell>
          <cell r="G699">
            <v>7.7242667272378662E-2</v>
          </cell>
          <cell r="H699">
            <v>4.9582202478024237E-2</v>
          </cell>
          <cell r="I699">
            <v>1.8082210703066703E-2</v>
          </cell>
        </row>
        <row r="700">
          <cell r="A700" t="str">
            <v>RHSA-WHPLTBR</v>
          </cell>
          <cell r="B700" t="str">
            <v>VAR_ncap</v>
          </cell>
          <cell r="C700" t="str">
            <v>-</v>
          </cell>
          <cell r="E700">
            <v>1.9583652173885799E-3</v>
          </cell>
          <cell r="F700">
            <v>2.6022858647079902E-7</v>
          </cell>
          <cell r="G700">
            <v>8.7288046887683604E-7</v>
          </cell>
          <cell r="H700">
            <v>6.3078983649308301E-4</v>
          </cell>
          <cell r="I700">
            <v>2.3659419196116099E-7</v>
          </cell>
        </row>
        <row r="701">
          <cell r="A701" t="str">
            <v>RHSA-WHPLTBR</v>
          </cell>
          <cell r="B701" t="str">
            <v>VAR_cap</v>
          </cell>
          <cell r="C701" t="str">
            <v>-</v>
          </cell>
          <cell r="D701">
            <v>1.12410901121583E-2</v>
          </cell>
          <cell r="E701">
            <v>1.3199310245294258E-2</v>
          </cell>
          <cell r="F701">
            <v>3.8496527971454211E-3</v>
          </cell>
          <cell r="G701">
            <v>3.3973511215428E-3</v>
          </cell>
          <cell r="H701">
            <v>1.5783636966346423E-3</v>
          </cell>
          <cell r="I701">
            <v>8.5059591659203296E-4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ITOT-ELS</v>
          </cell>
          <cell r="I702">
            <v>0.94129259791012343</v>
          </cell>
        </row>
        <row r="703">
          <cell r="A703" t="str">
            <v>ITOT-SWHCONBR8</v>
          </cell>
          <cell r="B703" t="str">
            <v>VAR_fout</v>
          </cell>
          <cell r="C703" t="str">
            <v>ITOT-SWHC</v>
          </cell>
          <cell r="I703">
            <v>3.6343502369325997</v>
          </cell>
        </row>
        <row r="704">
          <cell r="A704" t="str">
            <v>ITOT-SWHCONBR8</v>
          </cell>
          <cell r="B704" t="str">
            <v>VAR_fin</v>
          </cell>
          <cell r="C704" t="str">
            <v>CON</v>
          </cell>
          <cell r="I704">
            <v>4.5756428348427232</v>
          </cell>
        </row>
        <row r="705">
          <cell r="A705" t="str">
            <v>ITOT-SWHCONBR8</v>
          </cell>
          <cell r="B705" t="str">
            <v>VAR_ncap</v>
          </cell>
          <cell r="C705" t="str">
            <v>-</v>
          </cell>
          <cell r="I705">
            <v>0.248832985450994</v>
          </cell>
        </row>
        <row r="706">
          <cell r="A706" t="str">
            <v>ITOT-SWHCONBR8</v>
          </cell>
          <cell r="B706" t="str">
            <v>VAR_cap</v>
          </cell>
          <cell r="C706" t="str">
            <v>-</v>
          </cell>
          <cell r="I706">
            <v>0.248832985450994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ELC5</v>
          </cell>
          <cell r="G707">
            <v>1.7845636761610701E-3</v>
          </cell>
          <cell r="H707">
            <v>4.2859079157619371E-4</v>
          </cell>
          <cell r="I707">
            <v>1.705464775592937E-2</v>
          </cell>
        </row>
        <row r="708">
          <cell r="A708" t="str">
            <v>D-SCOM_KEV_HFC_ELC_CHP</v>
          </cell>
          <cell r="B708" t="str">
            <v>VAR_fout</v>
          </cell>
          <cell r="C708" t="str">
            <v>SCOM_ELC</v>
          </cell>
          <cell r="G708">
            <v>1.7872859071537139E-3</v>
          </cell>
          <cell r="H708">
            <v>4.2922645694115836E-4</v>
          </cell>
          <cell r="I708">
            <v>1.6766432032922218E-2</v>
          </cell>
        </row>
        <row r="709">
          <cell r="A709" t="str">
            <v>D-SCOM_KEV_HFC_ELC_CHP</v>
          </cell>
          <cell r="B709" t="str">
            <v>VAR_fin</v>
          </cell>
          <cell r="C709" t="str">
            <v>SCOM_KEV_HFC_ELC_CHP</v>
          </cell>
          <cell r="G709">
            <v>3.5386253340068384E-3</v>
          </cell>
          <cell r="H709">
            <v>8.3872688007651452E-4</v>
          </cell>
          <cell r="I709">
            <v>3.3787907542945597E-2</v>
          </cell>
        </row>
        <row r="710">
          <cell r="A710" t="str">
            <v>D-EH2R</v>
          </cell>
          <cell r="B710" t="str">
            <v>VAR_fout</v>
          </cell>
          <cell r="C710" t="str">
            <v>EH2</v>
          </cell>
          <cell r="H710">
            <v>1.5766963817120553E-4</v>
          </cell>
          <cell r="I710">
            <v>4.3044972941351631E-4</v>
          </cell>
        </row>
        <row r="711">
          <cell r="A711" t="str">
            <v>D-EH2R</v>
          </cell>
          <cell r="B711" t="str">
            <v>VAR_fin</v>
          </cell>
          <cell r="C711" t="str">
            <v>H2</v>
          </cell>
          <cell r="H711">
            <v>1.5766963817120553E-4</v>
          </cell>
          <cell r="I711">
            <v>4.3044972941351631E-4</v>
          </cell>
        </row>
        <row r="712">
          <cell r="A712" t="str">
            <v>D-EH2R</v>
          </cell>
          <cell r="B712" t="str">
            <v>VAR_ncap</v>
          </cell>
          <cell r="C712" t="str">
            <v>-</v>
          </cell>
          <cell r="G712">
            <v>7.9579468489587197E-7</v>
          </cell>
          <cell r="H712">
            <v>4.69777041993936E-4</v>
          </cell>
          <cell r="I712">
            <v>1.6257241201401699E-4</v>
          </cell>
        </row>
        <row r="713">
          <cell r="A713" t="str">
            <v>D-EH2R</v>
          </cell>
          <cell r="B713" t="str">
            <v>VAR_cap</v>
          </cell>
          <cell r="C713" t="str">
            <v>-</v>
          </cell>
          <cell r="G713">
            <v>7.9579468489587197E-7</v>
          </cell>
          <cell r="H713">
            <v>4.7016921031735299E-4</v>
          </cell>
          <cell r="I713">
            <v>3.2348103012965E-4</v>
          </cell>
        </row>
        <row r="714">
          <cell r="A714" t="str">
            <v>SCOM-ELCSPECADV</v>
          </cell>
          <cell r="B714" t="str">
            <v>VAR_fout</v>
          </cell>
          <cell r="C714" t="str">
            <v>SCOM-ELS</v>
          </cell>
          <cell r="G714">
            <v>9.0451807750860134</v>
          </cell>
          <cell r="H714">
            <v>19.45738970517726</v>
          </cell>
          <cell r="I714">
            <v>25.914591021463494</v>
          </cell>
        </row>
        <row r="715">
          <cell r="A715" t="str">
            <v>SCOM-ELCSPECADV</v>
          </cell>
          <cell r="B715" t="str">
            <v>VAR_fin</v>
          </cell>
          <cell r="C715" t="str">
            <v>SCOM_ELC</v>
          </cell>
          <cell r="G715">
            <v>6.0301205167240051</v>
          </cell>
          <cell r="H715">
            <v>12.971593136784842</v>
          </cell>
          <cell r="I715">
            <v>17.276394014309027</v>
          </cell>
        </row>
        <row r="716">
          <cell r="A716" t="str">
            <v>SCOM-ELCSPECADV</v>
          </cell>
          <cell r="B716" t="str">
            <v>VAR_ncap</v>
          </cell>
          <cell r="C716" t="str">
            <v>-</v>
          </cell>
          <cell r="F716">
            <v>3.0161728287783801E-7</v>
          </cell>
          <cell r="G716">
            <v>0.95606841737802695</v>
          </cell>
          <cell r="H716">
            <v>0.56493118998601799</v>
          </cell>
          <cell r="I716">
            <v>1.0144414863158999</v>
          </cell>
        </row>
        <row r="717">
          <cell r="A717" t="str">
            <v>SCOM-ELCSPECADV</v>
          </cell>
          <cell r="B717" t="str">
            <v>VAR_cap</v>
          </cell>
          <cell r="C717" t="str">
            <v>-</v>
          </cell>
          <cell r="F717">
            <v>3.0161728287783801E-7</v>
          </cell>
          <cell r="G717">
            <v>0.95606865168746269</v>
          </cell>
          <cell r="H717">
            <v>2.0566318091984379</v>
          </cell>
          <cell r="I717">
            <v>2.7391535171582473</v>
          </cell>
        </row>
        <row r="718">
          <cell r="A718" t="str">
            <v>RHSA-WHLTHRD</v>
          </cell>
          <cell r="B718" t="str">
            <v>VAR_fout</v>
          </cell>
          <cell r="C718" t="str">
            <v>RHSA-WHLTHRD</v>
          </cell>
          <cell r="D718">
            <v>1.3170843220260704</v>
          </cell>
          <cell r="E718">
            <v>1.4633806639627869</v>
          </cell>
          <cell r="F718">
            <v>0.96339061486362676</v>
          </cell>
          <cell r="G718">
            <v>1.8668723730836225</v>
          </cell>
          <cell r="H718">
            <v>2.1876436963903809</v>
          </cell>
          <cell r="I718">
            <v>2.0932789911957075</v>
          </cell>
        </row>
        <row r="719">
          <cell r="A719" t="str">
            <v>RHSA-WHLTHRD</v>
          </cell>
          <cell r="B719" t="str">
            <v>VAR_fin</v>
          </cell>
          <cell r="C719" t="str">
            <v>RHSA_LTH</v>
          </cell>
          <cell r="D719">
            <v>1.7104991195143788</v>
          </cell>
          <cell r="E719">
            <v>1.895570808241952</v>
          </cell>
          <cell r="F719">
            <v>1.7788977875451439</v>
          </cell>
          <cell r="G719">
            <v>3.3196434902882688</v>
          </cell>
          <cell r="H719">
            <v>3.8109871950437553</v>
          </cell>
          <cell r="I719">
            <v>3.5725805418119898</v>
          </cell>
        </row>
        <row r="720">
          <cell r="A720" t="str">
            <v>RHSA-WHLTHRD</v>
          </cell>
          <cell r="B720" t="str">
            <v>VAR_ncap</v>
          </cell>
          <cell r="C720" t="str">
            <v>-</v>
          </cell>
          <cell r="E720">
            <v>5.8498404856082799E-2</v>
          </cell>
          <cell r="F720">
            <v>3.7557935990633999E-2</v>
          </cell>
          <cell r="G720">
            <v>0.10588646463636001</v>
          </cell>
          <cell r="H720">
            <v>7.7481881907139893E-2</v>
          </cell>
          <cell r="I720">
            <v>7.7969202344944394E-2</v>
          </cell>
        </row>
        <row r="721">
          <cell r="A721" t="str">
            <v>RHSA-WHLTHRD</v>
          </cell>
          <cell r="B721" t="str">
            <v>VAR_cap</v>
          </cell>
          <cell r="C721" t="str">
            <v>-</v>
          </cell>
          <cell r="D721">
            <v>0.13737412127568699</v>
          </cell>
          <cell r="E721">
            <v>0.14782033170614517</v>
          </cell>
          <cell r="F721">
            <v>9.9745523051830792E-2</v>
          </cell>
          <cell r="G721">
            <v>0.18615893444350101</v>
          </cell>
          <cell r="H721">
            <v>0.22528505625131801</v>
          </cell>
          <cell r="I721">
            <v>0.23724472907366906</v>
          </cell>
        </row>
        <row r="722">
          <cell r="A722" t="str">
            <v>RHES-SHCONBR7</v>
          </cell>
          <cell r="B722" t="str">
            <v>VAR_fout</v>
          </cell>
          <cell r="C722" t="str">
            <v>RHES-SHCON</v>
          </cell>
          <cell r="D722">
            <v>2.3569330707419258E-4</v>
          </cell>
          <cell r="E722">
            <v>2.0558010852824023E-4</v>
          </cell>
          <cell r="F722">
            <v>1.6506504595786186E-4</v>
          </cell>
          <cell r="G722">
            <v>1.6396008674827018E-4</v>
          </cell>
          <cell r="H722">
            <v>2.1646134112260441E-4</v>
          </cell>
          <cell r="I722">
            <v>2.0496487604326004E-4</v>
          </cell>
        </row>
        <row r="723">
          <cell r="A723" t="str">
            <v>RHES-SHCONBR7</v>
          </cell>
          <cell r="B723" t="str">
            <v>VAR_fin</v>
          </cell>
          <cell r="C723" t="str">
            <v>CON</v>
          </cell>
          <cell r="D723">
            <v>2.3569330707419258E-4</v>
          </cell>
          <cell r="E723">
            <v>2.0558010852824023E-4</v>
          </cell>
          <cell r="F723">
            <v>1.6506504595786186E-4</v>
          </cell>
          <cell r="G723">
            <v>1.6396008674827018E-4</v>
          </cell>
          <cell r="H723">
            <v>2.1646134112260441E-4</v>
          </cell>
          <cell r="I723">
            <v>2.0496487604326004E-4</v>
          </cell>
        </row>
        <row r="724">
          <cell r="A724" t="str">
            <v>RHES-SHCONBR7</v>
          </cell>
          <cell r="B724" t="str">
            <v>VAR_ncap</v>
          </cell>
          <cell r="C724" t="str">
            <v>-</v>
          </cell>
          <cell r="D724">
            <v>1.87058853837778E-7</v>
          </cell>
          <cell r="E724">
            <v>3.0515173537574898E-6</v>
          </cell>
          <cell r="F724">
            <v>2.1995395018012901E-6</v>
          </cell>
          <cell r="G724">
            <v>6.3009592283712404E-6</v>
          </cell>
          <cell r="H724">
            <v>9.4235483729613099E-8</v>
          </cell>
          <cell r="I724">
            <v>1.60232545013725E-7</v>
          </cell>
        </row>
        <row r="725">
          <cell r="A725" t="str">
            <v>RHES-SHCONBR7</v>
          </cell>
          <cell r="B725" t="str">
            <v>VAR_cap</v>
          </cell>
          <cell r="C725" t="str">
            <v>-</v>
          </cell>
          <cell r="D725">
            <v>1.87058853837778E-7</v>
          </cell>
          <cell r="E725">
            <v>3.1911793934463912E-6</v>
          </cell>
          <cell r="F725">
            <v>5.2457477443523327E-6</v>
          </cell>
          <cell r="G725">
            <v>1.1450653683306583E-5</v>
          </cell>
          <cell r="H725">
            <v>1.1570067433714329E-5</v>
          </cell>
          <cell r="I725">
            <v>1.0068978280263808E-5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ITOT-ELS</v>
          </cell>
          <cell r="I726">
            <v>0.4307484561625729</v>
          </cell>
        </row>
        <row r="727">
          <cell r="A727" t="str">
            <v>ITOT-SWHCONBR9</v>
          </cell>
          <cell r="B727" t="str">
            <v>VAR_fout</v>
          </cell>
          <cell r="C727" t="str">
            <v>ITOT-SWHC</v>
          </cell>
          <cell r="I727">
            <v>2.5000614714390923</v>
          </cell>
        </row>
        <row r="728">
          <cell r="A728" t="str">
            <v>ITOT-SWHCONBR9</v>
          </cell>
          <cell r="B728" t="str">
            <v>VAR_fin</v>
          </cell>
          <cell r="C728" t="str">
            <v>CON</v>
          </cell>
          <cell r="I728">
            <v>2.9308099276016621</v>
          </cell>
        </row>
        <row r="729">
          <cell r="A729" t="str">
            <v>ITOT-SWHCONBR9</v>
          </cell>
          <cell r="B729" t="str">
            <v>VAR_ncap</v>
          </cell>
          <cell r="C729" t="str">
            <v>-</v>
          </cell>
          <cell r="I729">
            <v>0.159382323467607</v>
          </cell>
        </row>
        <row r="730">
          <cell r="A730" t="str">
            <v>ITOT-SWHCONBR9</v>
          </cell>
          <cell r="B730" t="str">
            <v>VAR_cap</v>
          </cell>
          <cell r="C730" t="str">
            <v>-</v>
          </cell>
          <cell r="I730">
            <v>0.159382323467607</v>
          </cell>
        </row>
        <row r="731">
          <cell r="A731" t="str">
            <v>SCOM-SHPLTBR</v>
          </cell>
          <cell r="B731" t="str">
            <v>VAR_fout</v>
          </cell>
          <cell r="C731" t="str">
            <v>SCOM-SHPLT</v>
          </cell>
          <cell r="D731">
            <v>1.8770820836817566</v>
          </cell>
          <cell r="E731">
            <v>2.160090934317219</v>
          </cell>
          <cell r="F731">
            <v>0.19132683263036365</v>
          </cell>
          <cell r="G731">
            <v>0.16737288443314946</v>
          </cell>
          <cell r="H731">
            <v>8.6688422246422939E-2</v>
          </cell>
          <cell r="I731">
            <v>3.0259383960476668E-2</v>
          </cell>
        </row>
        <row r="732">
          <cell r="A732" t="str">
            <v>SCOM-SHPLTBR</v>
          </cell>
          <cell r="B732" t="str">
            <v>VAR_fin</v>
          </cell>
          <cell r="C732" t="str">
            <v>SCOMPLTBRC</v>
          </cell>
          <cell r="D732">
            <v>1.8770820836817566</v>
          </cell>
          <cell r="E732">
            <v>2.160090934317219</v>
          </cell>
          <cell r="F732">
            <v>0.19132683263036365</v>
          </cell>
          <cell r="G732">
            <v>0.16737288443314946</v>
          </cell>
          <cell r="H732">
            <v>8.6688422246422939E-2</v>
          </cell>
          <cell r="I732">
            <v>3.0259383960476668E-2</v>
          </cell>
        </row>
        <row r="733">
          <cell r="A733" t="str">
            <v>SCOM-SHPLTBR</v>
          </cell>
          <cell r="B733" t="str">
            <v>VAR_fin</v>
          </cell>
          <cell r="C733" t="str">
            <v>SPLT</v>
          </cell>
          <cell r="D733">
            <v>2.0856467596463988</v>
          </cell>
          <cell r="E733">
            <v>2.4001010381302459</v>
          </cell>
          <cell r="F733">
            <v>0.29185545219730624</v>
          </cell>
          <cell r="G733">
            <v>0.25531541080899062</v>
          </cell>
          <cell r="H733">
            <v>0.13223701206552868</v>
          </cell>
          <cell r="I733">
            <v>4.3629461043107616E-2</v>
          </cell>
        </row>
        <row r="734">
          <cell r="A734" t="str">
            <v>SCOM-SHPLTBR</v>
          </cell>
          <cell r="B734" t="str">
            <v>VAR_ncap</v>
          </cell>
          <cell r="C734" t="str">
            <v>-</v>
          </cell>
          <cell r="D734">
            <v>5.7193899703408898E-6</v>
          </cell>
          <cell r="E734">
            <v>2.43720633914715E-2</v>
          </cell>
          <cell r="F734">
            <v>6.0532975539317903E-7</v>
          </cell>
          <cell r="G734">
            <v>2.0268129395578401E-6</v>
          </cell>
          <cell r="H734">
            <v>2.4082969961439701E-3</v>
          </cell>
          <cell r="I734">
            <v>5.0558890703844203E-7</v>
          </cell>
        </row>
        <row r="735">
          <cell r="A735" t="str">
            <v>SCOM-SHPLTBR</v>
          </cell>
          <cell r="B735" t="str">
            <v>VAR_cap</v>
          </cell>
          <cell r="C735" t="str">
            <v>-</v>
          </cell>
          <cell r="D735">
            <v>0.15051658751416436</v>
          </cell>
          <cell r="E735">
            <v>0.1748883631320883</v>
          </cell>
          <cell r="F735">
            <v>2.3797592528991302E-2</v>
          </cell>
          <cell r="G735">
            <v>2.3719011018392827E-2</v>
          </cell>
          <cell r="H735">
            <v>6.8114843194793323E-3</v>
          </cell>
          <cell r="I735">
            <v>3.6044365859804269E-3</v>
          </cell>
        </row>
        <row r="736">
          <cell r="A736" t="str">
            <v>ITOT-SWHELCHP</v>
          </cell>
          <cell r="B736" t="str">
            <v>VAR_fout</v>
          </cell>
          <cell r="C736" t="str">
            <v>ITOT-SWHAELCH</v>
          </cell>
          <cell r="D736">
            <v>1.1082698634682644</v>
          </cell>
          <cell r="E736">
            <v>1.4008364961281004</v>
          </cell>
          <cell r="F736">
            <v>1.7219070883657117</v>
          </cell>
          <cell r="G736">
            <v>3.5790331194430296</v>
          </cell>
          <cell r="H736">
            <v>7.8368884187357644</v>
          </cell>
          <cell r="I736">
            <v>7.8368934866095081</v>
          </cell>
        </row>
        <row r="737">
          <cell r="A737" t="str">
            <v>ITOT-SWHELCHP</v>
          </cell>
          <cell r="B737" t="str">
            <v>VAR_fin</v>
          </cell>
          <cell r="C737" t="str">
            <v>ITOT_ELC</v>
          </cell>
          <cell r="D737">
            <v>0.35971340219995557</v>
          </cell>
          <cell r="E737">
            <v>0.4510769895128689</v>
          </cell>
          <cell r="F737">
            <v>0.54796386620684912</v>
          </cell>
          <cell r="G737">
            <v>1.1171328943302676</v>
          </cell>
          <cell r="H737">
            <v>2.3558584827913487</v>
          </cell>
          <cell r="I737">
            <v>2.2719982296994461</v>
          </cell>
        </row>
        <row r="738">
          <cell r="A738" t="str">
            <v>ITOT-SWHELCHP</v>
          </cell>
          <cell r="B738" t="str">
            <v>VAR_fin</v>
          </cell>
          <cell r="C738" t="str">
            <v>ITOTELCHPC</v>
          </cell>
          <cell r="D738">
            <v>1.1082698634682644</v>
          </cell>
          <cell r="E738">
            <v>1.4008364961281004</v>
          </cell>
          <cell r="F738">
            <v>1.7219070883657117</v>
          </cell>
          <cell r="G738">
            <v>3.5790331194430296</v>
          </cell>
          <cell r="H738">
            <v>7.8368884187357644</v>
          </cell>
          <cell r="I738">
            <v>7.8368934866095081</v>
          </cell>
        </row>
        <row r="739">
          <cell r="A739" t="str">
            <v>ITOT-SWHELCHP</v>
          </cell>
          <cell r="B739" t="str">
            <v>VAR_ncap</v>
          </cell>
          <cell r="C739" t="str">
            <v>-</v>
          </cell>
          <cell r="E739">
            <v>1.6271968577685099E-2</v>
          </cell>
          <cell r="F739">
            <v>1.73289104893193E-2</v>
          </cell>
          <cell r="G739">
            <v>0.101220147578391</v>
          </cell>
          <cell r="H739">
            <v>0.15140664100148901</v>
          </cell>
          <cell r="I739">
            <v>0.24193359547882201</v>
          </cell>
        </row>
        <row r="740">
          <cell r="A740" t="str">
            <v>ITOT-SWHELCHP</v>
          </cell>
          <cell r="B740" t="str">
            <v>VAR_cap</v>
          </cell>
          <cell r="C740" t="str">
            <v>-</v>
          </cell>
          <cell r="D740">
            <v>6.02631234918991E-2</v>
          </cell>
          <cell r="E740">
            <v>7.6534221409673212E-2</v>
          </cell>
          <cell r="F740">
            <v>9.3861955203507305E-2</v>
          </cell>
          <cell r="G740">
            <v>0.19508022970396868</v>
          </cell>
          <cell r="H740">
            <v>0.44033416301392375</v>
          </cell>
          <cell r="I740">
            <v>0.44348513326726879</v>
          </cell>
        </row>
        <row r="741">
          <cell r="A741" t="str">
            <v>RHES-SHCONBR8</v>
          </cell>
          <cell r="B741" t="str">
            <v>VAR_fout</v>
          </cell>
          <cell r="C741" t="str">
            <v>RHES-SHCON</v>
          </cell>
          <cell r="D741">
            <v>2.3714289364448732E-4</v>
          </cell>
          <cell r="E741">
            <v>1.667341443927518E-4</v>
          </cell>
          <cell r="F741">
            <v>1.3760192998900009E-4</v>
          </cell>
          <cell r="G741">
            <v>9.3616603809091179E-5</v>
          </cell>
          <cell r="H741">
            <v>1.1582178279994614E-4</v>
          </cell>
          <cell r="I741">
            <v>9.2992657000013157E-5</v>
          </cell>
        </row>
        <row r="742">
          <cell r="A742" t="str">
            <v>RHES-SHCONBR8</v>
          </cell>
          <cell r="B742" t="str">
            <v>VAR_fin</v>
          </cell>
          <cell r="C742" t="str">
            <v>CON</v>
          </cell>
          <cell r="D742">
            <v>2.3714289364448732E-4</v>
          </cell>
          <cell r="E742">
            <v>1.667341443927518E-4</v>
          </cell>
          <cell r="F742">
            <v>1.3760192998900009E-4</v>
          </cell>
          <cell r="G742">
            <v>9.3616603809091179E-5</v>
          </cell>
          <cell r="H742">
            <v>1.1582178279994614E-4</v>
          </cell>
          <cell r="I742">
            <v>9.2992657000013157E-5</v>
          </cell>
        </row>
        <row r="743">
          <cell r="A743" t="str">
            <v>RHES-SHCONBR8</v>
          </cell>
          <cell r="B743" t="str">
            <v>VAR_ncap</v>
          </cell>
          <cell r="C743" t="str">
            <v>-</v>
          </cell>
          <cell r="D743">
            <v>2.7026883961086301E-8</v>
          </cell>
          <cell r="E743">
            <v>1.5860005710388199E-8</v>
          </cell>
          <cell r="F743">
            <v>6.7668193606808401E-8</v>
          </cell>
          <cell r="G743">
            <v>5.6087157007297399E-8</v>
          </cell>
          <cell r="H743">
            <v>2.82205465937161E-8</v>
          </cell>
          <cell r="I743">
            <v>4.0651135471063601E-8</v>
          </cell>
        </row>
        <row r="744">
          <cell r="A744" t="str">
            <v>RHES-SHCONBR8</v>
          </cell>
          <cell r="B744" t="str">
            <v>VAR_cap</v>
          </cell>
          <cell r="C744" t="str">
            <v>-</v>
          </cell>
          <cell r="D744">
            <v>2.7026883961086301E-8</v>
          </cell>
          <cell r="E744">
            <v>-2.614591939778197E-9</v>
          </cell>
          <cell r="F744">
            <v>-4.9978799204444014E-8</v>
          </cell>
          <cell r="G744">
            <v>-2.9212766669001984E-8</v>
          </cell>
          <cell r="H744">
            <v>-6.5247550011405019E-8</v>
          </cell>
          <cell r="I744">
            <v>7.2095271104384967E-8</v>
          </cell>
        </row>
        <row r="745">
          <cell r="A745" t="str">
            <v>RHEM-SHWODBR</v>
          </cell>
          <cell r="B745" t="str">
            <v>VAR_fout</v>
          </cell>
          <cell r="C745" t="str">
            <v>RHEM-SHWOD</v>
          </cell>
          <cell r="D745">
            <v>4.7439319262161677</v>
          </cell>
          <cell r="E745">
            <v>3.3164909533306193</v>
          </cell>
          <cell r="F745">
            <v>4.9990105491497436</v>
          </cell>
          <cell r="G745">
            <v>4.0905126148069408</v>
          </cell>
          <cell r="H745">
            <v>2.3615572831384788</v>
          </cell>
          <cell r="I745">
            <v>1.0254679542331582</v>
          </cell>
        </row>
        <row r="746">
          <cell r="A746" t="str">
            <v>RHEM-SHWODBR</v>
          </cell>
          <cell r="B746" t="str">
            <v>VAR_fin</v>
          </cell>
          <cell r="C746" t="str">
            <v>RHEMWODBRC</v>
          </cell>
          <cell r="D746">
            <v>4.7439319262161677</v>
          </cell>
          <cell r="E746">
            <v>3.3164909533306193</v>
          </cell>
          <cell r="F746">
            <v>4.9990105491497436</v>
          </cell>
          <cell r="G746">
            <v>4.0905126148069408</v>
          </cell>
          <cell r="H746">
            <v>2.3615572831384788</v>
          </cell>
          <cell r="I746">
            <v>1.0254679542331582</v>
          </cell>
        </row>
        <row r="747">
          <cell r="A747" t="str">
            <v>RHEM-SHWODBR</v>
          </cell>
          <cell r="B747" t="str">
            <v>VAR_fin</v>
          </cell>
          <cell r="C747" t="str">
            <v>RWOD</v>
          </cell>
          <cell r="D747">
            <v>6.5887943419668948</v>
          </cell>
          <cell r="E747">
            <v>4.6062374351814164</v>
          </cell>
          <cell r="F747">
            <v>6.942093089417555</v>
          </cell>
          <cell r="G747">
            <v>5.6645791538982655</v>
          </cell>
          <cell r="H747">
            <v>3.2703060512219495</v>
          </cell>
          <cell r="I747">
            <v>1.3701535189597445</v>
          </cell>
        </row>
        <row r="748">
          <cell r="A748" t="str">
            <v>RHEM-SHWODBR</v>
          </cell>
          <cell r="B748" t="str">
            <v>VAR_ncap</v>
          </cell>
          <cell r="C748" t="str">
            <v>-</v>
          </cell>
          <cell r="D748">
            <v>3.2537972483695599E-6</v>
          </cell>
          <cell r="E748">
            <v>2.1783866233499699E-6</v>
          </cell>
          <cell r="F748">
            <v>1.79784659427276E-2</v>
          </cell>
          <cell r="G748">
            <v>1.3889417961402099E-6</v>
          </cell>
          <cell r="H748">
            <v>3.8479187258964202E-2</v>
          </cell>
          <cell r="I748">
            <v>9.5012012596940704E-7</v>
          </cell>
        </row>
        <row r="749">
          <cell r="A749" t="str">
            <v>RHEM-SHWODBR</v>
          </cell>
          <cell r="B749" t="str">
            <v>VAR_cap</v>
          </cell>
          <cell r="C749" t="str">
            <v>-</v>
          </cell>
          <cell r="D749">
            <v>0.33507503275224138</v>
          </cell>
          <cell r="E749">
            <v>0.33507605484144648</v>
          </cell>
          <cell r="F749">
            <v>0.35305479281319119</v>
          </cell>
          <cell r="G749">
            <v>0.3530294312317605</v>
          </cell>
          <cell r="H749">
            <v>0.16682618471482735</v>
          </cell>
          <cell r="I749">
            <v>8.0867276377357383E-2</v>
          </cell>
        </row>
        <row r="750">
          <cell r="A750" t="str">
            <v>RHES-SHCONBR9</v>
          </cell>
          <cell r="B750" t="str">
            <v>VAR_fout</v>
          </cell>
          <cell r="C750" t="str">
            <v>RHES-SHCON</v>
          </cell>
          <cell r="D750">
            <v>2.4250531548615547E-4</v>
          </cell>
          <cell r="E750">
            <v>1.6658695588123222E-4</v>
          </cell>
          <cell r="F750">
            <v>1.4237938697364327E-4</v>
          </cell>
          <cell r="G750">
            <v>9.551224818584067E-5</v>
          </cell>
          <cell r="H750">
            <v>1.1637437689998105E-4</v>
          </cell>
          <cell r="I750">
            <v>9.1569106711473361E-5</v>
          </cell>
        </row>
        <row r="751">
          <cell r="A751" t="str">
            <v>RHES-SHCONBR9</v>
          </cell>
          <cell r="B751" t="str">
            <v>VAR_fin</v>
          </cell>
          <cell r="C751" t="str">
            <v>CON</v>
          </cell>
          <cell r="D751">
            <v>2.4250531548615547E-4</v>
          </cell>
          <cell r="E751">
            <v>1.6658695588123222E-4</v>
          </cell>
          <cell r="F751">
            <v>1.4237938697364327E-4</v>
          </cell>
          <cell r="G751">
            <v>9.551224818584067E-5</v>
          </cell>
          <cell r="H751">
            <v>1.1637437689998105E-4</v>
          </cell>
          <cell r="I751">
            <v>9.1569106711473361E-5</v>
          </cell>
        </row>
        <row r="752">
          <cell r="A752" t="str">
            <v>RHES-SHCONBR9</v>
          </cell>
          <cell r="B752" t="str">
            <v>VAR_ncap</v>
          </cell>
          <cell r="C752" t="str">
            <v>-</v>
          </cell>
          <cell r="F752">
            <v>1.01250466064262E-8</v>
          </cell>
          <cell r="G752">
            <v>1.00168579222882E-8</v>
          </cell>
          <cell r="I752">
            <v>1.1705073141856399E-8</v>
          </cell>
        </row>
        <row r="753">
          <cell r="A753" t="str">
            <v>RHES-SHCONBR9</v>
          </cell>
          <cell r="B753" t="str">
            <v>VAR_cap</v>
          </cell>
          <cell r="C753" t="str">
            <v>-</v>
          </cell>
          <cell r="E753">
            <v>-4.1702695267252002E-8</v>
          </cell>
          <cell r="F753">
            <v>-1.623883411730798E-7</v>
          </cell>
          <cell r="G753">
            <v>-1.7708861191974058E-7</v>
          </cell>
          <cell r="H753">
            <v>-2.8198797941628591E-7</v>
          </cell>
          <cell r="I753">
            <v>-1.2110694711899902E-7</v>
          </cell>
        </row>
        <row r="754">
          <cell r="A754" t="str">
            <v>D-RHNS_LTH_CHPNGA</v>
          </cell>
          <cell r="B754" t="str">
            <v>VAR_fout</v>
          </cell>
          <cell r="C754" t="str">
            <v>RHSA_LTH</v>
          </cell>
          <cell r="D754">
            <v>8.8337763249432465E-5</v>
          </cell>
          <cell r="E754">
            <v>1.9204922032388426E-5</v>
          </cell>
          <cell r="F754">
            <v>3.506853524885114E-3</v>
          </cell>
          <cell r="G754">
            <v>5.2762334689332229E-3</v>
          </cell>
          <cell r="H754">
            <v>7.1084517563565009E-3</v>
          </cell>
          <cell r="I754">
            <v>1.4937027051866285E-4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LTH</v>
          </cell>
          <cell r="F755">
            <v>3.6399791843581883E-7</v>
          </cell>
          <cell r="G755">
            <v>3.4436980541398033E-6</v>
          </cell>
          <cell r="H755">
            <v>1.092707891242926E-5</v>
          </cell>
          <cell r="I755">
            <v>4.6312854026288897E-8</v>
          </cell>
        </row>
        <row r="756">
          <cell r="A756" t="str">
            <v>D-RHNS_LTH_CHPNGA</v>
          </cell>
          <cell r="B756" t="str">
            <v>VAR_fout</v>
          </cell>
          <cell r="C756" t="str">
            <v>RHNS_LTH_CHPNGA_ON</v>
          </cell>
          <cell r="D756">
            <v>1.166512259538175E-4</v>
          </cell>
          <cell r="E756">
            <v>9.1251067125440303E-4</v>
          </cell>
          <cell r="F756">
            <v>4.9892970130369493E-5</v>
          </cell>
          <cell r="G756">
            <v>3.1592921183193844E-4</v>
          </cell>
        </row>
        <row r="757">
          <cell r="A757" t="str">
            <v>D-RHNS_LTH_CHPNGA</v>
          </cell>
          <cell r="B757" t="str">
            <v>VAR_fin</v>
          </cell>
          <cell r="C757" t="str">
            <v>RHNS_LTH_CHPNGA</v>
          </cell>
          <cell r="D757">
            <v>2.0498898920324994E-4</v>
          </cell>
          <cell r="E757">
            <v>9.3216061059244219E-4</v>
          </cell>
          <cell r="F757">
            <v>3.5580852957904129E-3</v>
          </cell>
          <cell r="G757">
            <v>5.5961601679591052E-3</v>
          </cell>
          <cell r="H757">
            <v>7.119988137697944E-3</v>
          </cell>
          <cell r="I757">
            <v>1.5041633962264932E-4</v>
          </cell>
        </row>
        <row r="758">
          <cell r="A758" t="str">
            <v>D-SLFO</v>
          </cell>
          <cell r="B758" t="str">
            <v>VAR_fout</v>
          </cell>
          <cell r="C758" t="str">
            <v>CO2</v>
          </cell>
          <cell r="D758">
            <v>2267.78912645133</v>
          </cell>
          <cell r="E758">
            <v>1754.7395412978101</v>
          </cell>
          <cell r="F758">
            <v>1888.8421584524799</v>
          </cell>
          <cell r="G758">
            <v>944.88033551678905</v>
          </cell>
          <cell r="H758">
            <v>186.25898926752899</v>
          </cell>
          <cell r="I758">
            <v>3.2268183876407899E-3</v>
          </cell>
        </row>
        <row r="759">
          <cell r="A759" t="str">
            <v>D-SLFO</v>
          </cell>
          <cell r="B759" t="str">
            <v>VAR_fout</v>
          </cell>
          <cell r="C759" t="str">
            <v>SLFO</v>
          </cell>
          <cell r="D759">
            <v>30.256640504322231</v>
          </cell>
          <cell r="E759">
            <v>23.411578643049197</v>
          </cell>
          <cell r="F759">
            <v>25.200889123343046</v>
          </cell>
          <cell r="G759">
            <v>12.607443887257443</v>
          </cell>
          <cell r="H759">
            <v>2.4859322538251218</v>
          </cell>
          <cell r="I759">
            <v>6.980165995608259E-2</v>
          </cell>
        </row>
        <row r="760">
          <cell r="A760" t="str">
            <v>D-SLFO</v>
          </cell>
          <cell r="B760" t="str">
            <v>VAR_fin</v>
          </cell>
          <cell r="C760" t="str">
            <v>LFO</v>
          </cell>
          <cell r="D760">
            <v>30.770544456598756</v>
          </cell>
          <cell r="E760">
            <v>23.809220370390907</v>
          </cell>
          <cell r="F760">
            <v>25.628794551594044</v>
          </cell>
          <cell r="G760">
            <v>12.820628704434048</v>
          </cell>
          <cell r="H760">
            <v>2.5272590131279364</v>
          </cell>
          <cell r="I760">
            <v>4.3783153156591451E-5</v>
          </cell>
        </row>
        <row r="761">
          <cell r="A761" t="str">
            <v>D-SLFO</v>
          </cell>
          <cell r="B761" t="str">
            <v>VAR_fin</v>
          </cell>
          <cell r="C761" t="str">
            <v>BDS</v>
          </cell>
          <cell r="F761">
            <v>1.2587812076851238E-4</v>
          </cell>
          <cell r="G761">
            <v>9.5364053403616355E-4</v>
          </cell>
          <cell r="H761">
            <v>9.026339889555042E-4</v>
          </cell>
          <cell r="I761">
            <v>7.0948388168574031E-2</v>
          </cell>
        </row>
        <row r="762">
          <cell r="A762" t="str">
            <v>D-RCOA</v>
          </cell>
          <cell r="B762" t="str">
            <v>VAR_fout</v>
          </cell>
          <cell r="C762" t="str">
            <v>CO2</v>
          </cell>
          <cell r="D762">
            <v>9.2711939547168996</v>
          </cell>
          <cell r="E762">
            <v>9.2705897384879403</v>
          </cell>
          <cell r="F762">
            <v>2.44202474489285</v>
          </cell>
        </row>
        <row r="763">
          <cell r="A763" t="str">
            <v>D-RCOA</v>
          </cell>
          <cell r="B763" t="str">
            <v>VAR_fout</v>
          </cell>
          <cell r="C763" t="str">
            <v>RCOA</v>
          </cell>
          <cell r="D763">
            <v>0.10001287977040883</v>
          </cell>
          <cell r="E763">
            <v>0.10000636179598643</v>
          </cell>
          <cell r="F763">
            <v>2.6343309006395383E-2</v>
          </cell>
        </row>
        <row r="764">
          <cell r="A764" t="str">
            <v>D-RCOA</v>
          </cell>
          <cell r="B764" t="str">
            <v>VAR_fin</v>
          </cell>
          <cell r="C764" t="str">
            <v>COA</v>
          </cell>
          <cell r="D764">
            <v>0.10001287977040883</v>
          </cell>
          <cell r="E764">
            <v>0.10000636179598643</v>
          </cell>
          <cell r="F764">
            <v>2.6343309006395383E-2</v>
          </cell>
        </row>
        <row r="765">
          <cell r="A765" t="str">
            <v>SCOM-ELCSPECDC</v>
          </cell>
          <cell r="B765" t="str">
            <v>VAR_fout</v>
          </cell>
          <cell r="C765" t="str">
            <v>SCOM-ELSDC</v>
          </cell>
          <cell r="F765">
            <v>13.290698929185066</v>
          </cell>
          <cell r="G765">
            <v>13.043362460748996</v>
          </cell>
          <cell r="H765">
            <v>11.089467211322097</v>
          </cell>
          <cell r="I765">
            <v>9.1106927309140708</v>
          </cell>
        </row>
        <row r="766">
          <cell r="A766" t="str">
            <v>SCOM-ELCSPECDC</v>
          </cell>
          <cell r="B766" t="str">
            <v>VAR_fin</v>
          </cell>
          <cell r="C766" t="str">
            <v>SCOM_ELC</v>
          </cell>
          <cell r="F766">
            <v>13.290698929185066</v>
          </cell>
          <cell r="G766">
            <v>13.043362460748996</v>
          </cell>
          <cell r="H766">
            <v>11.089467211322097</v>
          </cell>
          <cell r="I766">
            <v>9.1106927309140708</v>
          </cell>
        </row>
        <row r="767">
          <cell r="A767" t="str">
            <v>D-RHEM_KEV_WOD_ELC_CHP</v>
          </cell>
          <cell r="B767" t="str">
            <v>VAR_fout</v>
          </cell>
          <cell r="C767" t="str">
            <v>ELC5</v>
          </cell>
          <cell r="G767">
            <v>3.6766338651439992E-4</v>
          </cell>
          <cell r="H767">
            <v>2.3435434002091817E-4</v>
          </cell>
          <cell r="I767">
            <v>3.9591495303736607E-4</v>
          </cell>
        </row>
        <row r="768">
          <cell r="A768" t="str">
            <v>D-RHEM_KEV_WOD_ELC_CHP</v>
          </cell>
          <cell r="B768" t="str">
            <v>VAR_fout</v>
          </cell>
          <cell r="C768" t="str">
            <v>RHEM_ELC</v>
          </cell>
          <cell r="G768">
            <v>3.674497461365532E-4</v>
          </cell>
          <cell r="H768">
            <v>2.3418728751636032E-4</v>
          </cell>
          <cell r="I768">
            <v>3.9560386675671004E-4</v>
          </cell>
        </row>
        <row r="769">
          <cell r="A769" t="str">
            <v>D-RHEM_KEV_WOD_ELC_CHP</v>
          </cell>
          <cell r="B769" t="str">
            <v>VAR_fin</v>
          </cell>
          <cell r="C769" t="str">
            <v>RHEM_KEV_WOD_ELC_CHP</v>
          </cell>
          <cell r="G769">
            <v>7.143413545578224E-4</v>
          </cell>
          <cell r="H769">
            <v>4.4287710181534803E-4</v>
          </cell>
          <cell r="I769">
            <v>7.7032953549379529E-4</v>
          </cell>
        </row>
        <row r="770">
          <cell r="A770" t="str">
            <v>RHES-SHSTG-SOL</v>
          </cell>
          <cell r="B770" t="str">
            <v>VAR_fout</v>
          </cell>
          <cell r="C770" t="str">
            <v>RHES-SHASOL</v>
          </cell>
          <cell r="D770">
            <v>6.1467596935656029E-5</v>
          </cell>
          <cell r="E770">
            <v>1.6571843317191701E-5</v>
          </cell>
          <cell r="F770">
            <v>6.2636708857545832E-3</v>
          </cell>
          <cell r="G770">
            <v>6.6530690368979831E-3</v>
          </cell>
          <cell r="H770">
            <v>3.9571240456016676E-3</v>
          </cell>
          <cell r="I770">
            <v>4.6891815636278282E-3</v>
          </cell>
        </row>
        <row r="771">
          <cell r="A771" t="str">
            <v>RHES-SHSTG-SOL</v>
          </cell>
          <cell r="B771" t="str">
            <v>VAR_fin</v>
          </cell>
          <cell r="C771" t="str">
            <v>RHES-SHASOL</v>
          </cell>
          <cell r="D771">
            <v>3.0806698889032772E-6</v>
          </cell>
          <cell r="E771">
            <v>3.9195190067234175E-5</v>
          </cell>
          <cell r="F771">
            <v>6.2852839520985571E-3</v>
          </cell>
          <cell r="G771">
            <v>6.6567187418113023E-3</v>
          </cell>
          <cell r="H771">
            <v>3.9648362489363509E-3</v>
          </cell>
          <cell r="I771">
            <v>4.7012333129896316E-3</v>
          </cell>
        </row>
        <row r="772">
          <cell r="A772" t="str">
            <v>RHES-SHSTG-SOL</v>
          </cell>
          <cell r="B772" t="str">
            <v>VAR_ncap</v>
          </cell>
          <cell r="C772" t="str">
            <v>-</v>
          </cell>
          <cell r="D772">
            <v>1.0132291650125899E-2</v>
          </cell>
          <cell r="E772">
            <v>1.0341658542000599E-3</v>
          </cell>
          <cell r="F772">
            <v>8.3987896806859902E-7</v>
          </cell>
          <cell r="G772">
            <v>1.15856643337893E-6</v>
          </cell>
          <cell r="H772">
            <v>7.5081838469946802E-4</v>
          </cell>
          <cell r="I772">
            <v>2.5570645240707E-4</v>
          </cell>
        </row>
        <row r="773">
          <cell r="A773" t="str">
            <v>RHES-SHSTG-SOL</v>
          </cell>
          <cell r="B773" t="str">
            <v>VAR_cap</v>
          </cell>
          <cell r="C773" t="str">
            <v>-</v>
          </cell>
          <cell r="D773">
            <v>1.0132291650125899E-2</v>
          </cell>
          <cell r="E773">
            <v>1.11664575043259E-2</v>
          </cell>
          <cell r="F773">
            <v>1.1167297383294E-2</v>
          </cell>
          <cell r="G773">
            <v>1.11684559497274E-2</v>
          </cell>
          <cell r="H773">
            <v>8.6224475114077899E-4</v>
          </cell>
          <cell r="I773">
            <v>8.4733564712281297E-4</v>
          </cell>
        </row>
        <row r="774">
          <cell r="A774" t="str">
            <v>D-ITOT_LTH</v>
          </cell>
          <cell r="B774" t="str">
            <v>VAR_fout</v>
          </cell>
          <cell r="C774" t="str">
            <v>ITOT_LTH_DH</v>
          </cell>
          <cell r="D774">
            <v>7.1200232041811784</v>
          </cell>
          <cell r="E774">
            <v>7.6289113638024073</v>
          </cell>
          <cell r="F774">
            <v>7.3518867322310006</v>
          </cell>
          <cell r="G774">
            <v>6.4723824317686649</v>
          </cell>
          <cell r="H774">
            <v>5.8775069749167539</v>
          </cell>
          <cell r="I774">
            <v>5.3455061945330584</v>
          </cell>
        </row>
        <row r="775">
          <cell r="A775" t="str">
            <v>D-ITOT_LTH</v>
          </cell>
          <cell r="B775" t="str">
            <v>VAR_fin</v>
          </cell>
          <cell r="C775" t="str">
            <v>LTH</v>
          </cell>
          <cell r="D775">
            <v>7.7403609164067628</v>
          </cell>
          <cell r="E775">
            <v>8.2914067088949999</v>
          </cell>
          <cell r="F775">
            <v>7.9871765437101105</v>
          </cell>
          <cell r="G775">
            <v>7.0270575183004338</v>
          </cell>
          <cell r="H775">
            <v>6.3728364800149961</v>
          </cell>
          <cell r="I775">
            <v>5.7884127227353908</v>
          </cell>
        </row>
        <row r="776">
          <cell r="A776" t="str">
            <v>D-ITOT_LTH</v>
          </cell>
          <cell r="B776" t="str">
            <v>VAR_ncap</v>
          </cell>
          <cell r="C776" t="str">
            <v>-</v>
          </cell>
          <cell r="D776">
            <v>0.79547392229472003</v>
          </cell>
          <cell r="E776">
            <v>1.5389874409610199E-7</v>
          </cell>
          <cell r="F776">
            <v>1.7446080978173799E-7</v>
          </cell>
          <cell r="G776">
            <v>1.9943096302164699E-7</v>
          </cell>
          <cell r="H776">
            <v>2.5703292639886802E-7</v>
          </cell>
          <cell r="I776">
            <v>3.2523079116371201E-7</v>
          </cell>
        </row>
        <row r="777">
          <cell r="A777" t="str">
            <v>D-ITOT_LTH</v>
          </cell>
          <cell r="B777" t="str">
            <v>VAR_cap</v>
          </cell>
          <cell r="C777" t="str">
            <v>-</v>
          </cell>
          <cell r="D777">
            <v>0.79547392229472003</v>
          </cell>
          <cell r="E777">
            <v>0.795474076193464</v>
          </cell>
          <cell r="F777">
            <v>0.79547425065427402</v>
          </cell>
          <cell r="G777">
            <v>0.79547445008523698</v>
          </cell>
          <cell r="H777">
            <v>0.79547499463416005</v>
          </cell>
          <cell r="I777">
            <v>0.79547531986495101</v>
          </cell>
        </row>
        <row r="778">
          <cell r="A778" t="str">
            <v>D-IH2</v>
          </cell>
          <cell r="B778" t="str">
            <v>VAR_fout</v>
          </cell>
          <cell r="C778" t="str">
            <v>IH2</v>
          </cell>
          <cell r="H778">
            <v>0.25208751910301636</v>
          </cell>
          <cell r="I778">
            <v>1.8123410675196745</v>
          </cell>
        </row>
        <row r="779">
          <cell r="A779" t="str">
            <v>D-IH2</v>
          </cell>
          <cell r="B779" t="str">
            <v>VAR_fin</v>
          </cell>
          <cell r="C779" t="str">
            <v>H2</v>
          </cell>
          <cell r="H779">
            <v>0.25400801963812686</v>
          </cell>
          <cell r="I779">
            <v>1.8261481849936352</v>
          </cell>
        </row>
        <row r="780">
          <cell r="A780" t="str">
            <v>D-IH2</v>
          </cell>
          <cell r="B780" t="str">
            <v>VAR_ncap</v>
          </cell>
          <cell r="C780" t="str">
            <v>-</v>
          </cell>
          <cell r="G780">
            <v>1.7020253174046101E-6</v>
          </cell>
          <cell r="H780">
            <v>1.17599397737802E-2</v>
          </cell>
          <cell r="I780">
            <v>7.2711925584372797E-2</v>
          </cell>
        </row>
        <row r="781">
          <cell r="A781" t="str">
            <v>D-IH2</v>
          </cell>
          <cell r="B781" t="str">
            <v>VAR_cap</v>
          </cell>
          <cell r="C781" t="str">
            <v>-</v>
          </cell>
          <cell r="G781">
            <v>1.7020253174046101E-6</v>
          </cell>
          <cell r="H781">
            <v>2.28185431240483E-2</v>
          </cell>
          <cell r="I781">
            <v>9.5530468708421107E-2</v>
          </cell>
        </row>
        <row r="782">
          <cell r="A782" t="str">
            <v>D-RHNM_LTH_CHPWOD</v>
          </cell>
          <cell r="B782" t="str">
            <v>VAR_fout</v>
          </cell>
          <cell r="C782" t="str">
            <v>RHNM_LTH_CHPWOD_ON</v>
          </cell>
          <cell r="D782">
            <v>1.2351257747591723E-4</v>
          </cell>
          <cell r="E782">
            <v>1.0609939857678509E-4</v>
          </cell>
          <cell r="F782">
            <v>2.5828082603545075E-5</v>
          </cell>
          <cell r="G782">
            <v>5.8033493062692779E-4</v>
          </cell>
        </row>
        <row r="783">
          <cell r="A783" t="str">
            <v>D-RHNM_LTH_CHPWOD</v>
          </cell>
          <cell r="B783" t="str">
            <v>VAR_fout</v>
          </cell>
          <cell r="C783" t="str">
            <v>RHSA_LTH</v>
          </cell>
          <cell r="D783">
            <v>8.1480330012492118E-5</v>
          </cell>
          <cell r="E783">
            <v>1.2843886768173373E-4</v>
          </cell>
          <cell r="F783">
            <v>4.8532675020287234E-5</v>
          </cell>
          <cell r="G783">
            <v>9.7968814528324446E-4</v>
          </cell>
          <cell r="H783">
            <v>1.0835454055728264E-3</v>
          </cell>
          <cell r="I783">
            <v>1.9158694313152174E-3</v>
          </cell>
        </row>
        <row r="784">
          <cell r="A784" t="str">
            <v>D-RHNM_LTH_CHPWOD</v>
          </cell>
          <cell r="B784" t="str">
            <v>VAR_fout</v>
          </cell>
          <cell r="C784" t="str">
            <v>LTH</v>
          </cell>
          <cell r="E784">
            <v>3.9088792309216796E-6</v>
          </cell>
          <cell r="F784">
            <v>2.1638120398018565E-6</v>
          </cell>
          <cell r="G784">
            <v>2.9549737659175387E-7</v>
          </cell>
          <cell r="H784">
            <v>1.0883875315660799E-7</v>
          </cell>
          <cell r="I784">
            <v>3.5165985719213342E-6</v>
          </cell>
        </row>
        <row r="785">
          <cell r="A785" t="str">
            <v>D-RHNM_LTH_CHPWOD</v>
          </cell>
          <cell r="B785" t="str">
            <v>VAR_fin</v>
          </cell>
          <cell r="C785" t="str">
            <v>RHNM_LTH_CHPWOD</v>
          </cell>
          <cell r="D785">
            <v>2.0499290748840956E-4</v>
          </cell>
          <cell r="E785">
            <v>2.3844714548944029E-4</v>
          </cell>
          <cell r="F785">
            <v>7.6524569663634123E-5</v>
          </cell>
          <cell r="G785">
            <v>1.5613408857783654E-3</v>
          </cell>
          <cell r="H785">
            <v>1.0854568422185306E-3</v>
          </cell>
          <cell r="I785">
            <v>1.9199439232712714E-3</v>
          </cell>
        </row>
        <row r="786">
          <cell r="A786" t="str">
            <v>RHNS-SHWODBR</v>
          </cell>
          <cell r="B786" t="str">
            <v>VAR_fout</v>
          </cell>
          <cell r="C786" t="str">
            <v>RHNS-SHWOD</v>
          </cell>
          <cell r="E786">
            <v>2.6581615055886562E-2</v>
          </cell>
          <cell r="F786">
            <v>5.4583308197368591E-3</v>
          </cell>
          <cell r="G786">
            <v>1.1906118417221823E-2</v>
          </cell>
          <cell r="H786">
            <v>1.2983709672806751E-2</v>
          </cell>
          <cell r="I786">
            <v>1.1858695286896537E-2</v>
          </cell>
        </row>
        <row r="787">
          <cell r="A787" t="str">
            <v>RHNS-SHWODBR</v>
          </cell>
          <cell r="B787" t="str">
            <v>VAR_fin</v>
          </cell>
          <cell r="C787" t="str">
            <v>RHNSWODBRC</v>
          </cell>
          <cell r="E787">
            <v>2.6581615055886562E-2</v>
          </cell>
          <cell r="F787">
            <v>5.4583308197368591E-3</v>
          </cell>
          <cell r="G787">
            <v>1.1906118417221823E-2</v>
          </cell>
          <cell r="H787">
            <v>1.2983709672806751E-2</v>
          </cell>
          <cell r="I787">
            <v>1.1858695286896537E-2</v>
          </cell>
        </row>
        <row r="788">
          <cell r="A788" t="str">
            <v>RHNS-SHWODBR</v>
          </cell>
          <cell r="B788" t="str">
            <v>VAR_fin</v>
          </cell>
          <cell r="C788" t="str">
            <v>RWOD</v>
          </cell>
          <cell r="E788">
            <v>3.6918909799842456E-2</v>
          </cell>
          <cell r="F788">
            <v>7.3327123763279184E-3</v>
          </cell>
          <cell r="G788">
            <v>1.5711020814087442E-2</v>
          </cell>
          <cell r="H788">
            <v>1.7017066000320529E-2</v>
          </cell>
          <cell r="I788">
            <v>1.5542568761951092E-2</v>
          </cell>
        </row>
        <row r="789">
          <cell r="A789" t="str">
            <v>RHNS-SHWODBR</v>
          </cell>
          <cell r="B789" t="str">
            <v>VAR_ncap</v>
          </cell>
          <cell r="C789" t="str">
            <v>-</v>
          </cell>
          <cell r="E789">
            <v>1.99334000557612E-3</v>
          </cell>
          <cell r="F789">
            <v>3.49431469063203E-6</v>
          </cell>
        </row>
        <row r="790">
          <cell r="A790" t="str">
            <v>RHNS-SHWODBR</v>
          </cell>
          <cell r="B790" t="str">
            <v>VAR_cap</v>
          </cell>
          <cell r="C790" t="str">
            <v>-</v>
          </cell>
          <cell r="E790">
            <v>1.99334000557612E-3</v>
          </cell>
          <cell r="F790">
            <v>1.9922526337734048E-3</v>
          </cell>
          <cell r="G790">
            <v>1.9804801871487385E-3</v>
          </cell>
          <cell r="H790">
            <v>2.1028319625963103E-3</v>
          </cell>
          <cell r="I790">
            <v>8.8951202781066183E-4</v>
          </cell>
        </row>
        <row r="791">
          <cell r="A791" t="str">
            <v>D-RHNM_NKEV_GAS_ELC_CHP</v>
          </cell>
          <cell r="B791" t="str">
            <v>VAR_fout</v>
          </cell>
          <cell r="C791" t="str">
            <v>ELC5</v>
          </cell>
          <cell r="E791">
            <v>6.1689676813431573E-4</v>
          </cell>
          <cell r="F791">
            <v>3.3463150088667787E-3</v>
          </cell>
          <cell r="G791">
            <v>0.43655858652706003</v>
          </cell>
          <cell r="H791">
            <v>0.5653928900320615</v>
          </cell>
          <cell r="I791">
            <v>1.2252589157262883E-4</v>
          </cell>
        </row>
        <row r="792">
          <cell r="A792" t="str">
            <v>D-RHNM_NKEV_GAS_ELC_CHP</v>
          </cell>
          <cell r="B792" t="str">
            <v>VAR_fout</v>
          </cell>
          <cell r="C792" t="str">
            <v>RHNM_ELC</v>
          </cell>
          <cell r="E792">
            <v>6.1741945918842114E-4</v>
          </cell>
          <cell r="F792">
            <v>3.3267243332579599E-3</v>
          </cell>
          <cell r="G792">
            <v>0.42193631594515191</v>
          </cell>
          <cell r="H792">
            <v>0.53543576004442239</v>
          </cell>
          <cell r="I792">
            <v>1.222975308184122E-4</v>
          </cell>
        </row>
        <row r="793">
          <cell r="A793" t="str">
            <v>D-RHNM_NKEV_GAS_ELC_CHP</v>
          </cell>
          <cell r="B793" t="str">
            <v>VAR_fin</v>
          </cell>
          <cell r="C793" t="str">
            <v>RHNM_NKEV_GAS_ELC_CHP</v>
          </cell>
          <cell r="E793">
            <v>1.2343162273227377E-3</v>
          </cell>
          <cell r="F793">
            <v>6.6484930617861067E-3</v>
          </cell>
          <cell r="G793">
            <v>0.85849490247221216</v>
          </cell>
          <cell r="H793">
            <v>1.1008286500764846</v>
          </cell>
          <cell r="I793">
            <v>2.4482342239104084E-4</v>
          </cell>
        </row>
        <row r="794">
          <cell r="A794" t="str">
            <v>D-RLFO</v>
          </cell>
          <cell r="B794" t="str">
            <v>VAR_fout</v>
          </cell>
          <cell r="C794" t="str">
            <v>CO2</v>
          </cell>
          <cell r="D794">
            <v>4514.4907642769003</v>
          </cell>
          <cell r="E794">
            <v>3820.6652550645599</v>
          </cell>
          <cell r="F794">
            <v>3635.0251747873199</v>
          </cell>
          <cell r="G794">
            <v>1600.04470374419</v>
          </cell>
          <cell r="H794">
            <v>237.91100371300001</v>
          </cell>
          <cell r="I794">
            <v>4.8702979698773703E-3</v>
          </cell>
        </row>
        <row r="795">
          <cell r="A795" t="str">
            <v>D-RLFO</v>
          </cell>
          <cell r="B795" t="str">
            <v>VAR_fout</v>
          </cell>
          <cell r="C795" t="str">
            <v>RLFO</v>
          </cell>
          <cell r="D795">
            <v>60.231933613930153</v>
          </cell>
          <cell r="E795">
            <v>50.974975477872782</v>
          </cell>
          <cell r="F795">
            <v>48.498306195678957</v>
          </cell>
          <cell r="G795">
            <v>21.348597502475773</v>
          </cell>
          <cell r="H795">
            <v>3.1750909890919687</v>
          </cell>
          <cell r="I795">
            <v>0.15002794456704951</v>
          </cell>
        </row>
        <row r="796">
          <cell r="A796" t="str">
            <v>D-RLFO</v>
          </cell>
          <cell r="B796" t="str">
            <v>VAR_fin</v>
          </cell>
          <cell r="C796" t="str">
            <v>LFO</v>
          </cell>
          <cell r="D796">
            <v>61.254962880283607</v>
          </cell>
          <cell r="E796">
            <v>51.840776866547628</v>
          </cell>
          <cell r="F796">
            <v>49.321915533070786</v>
          </cell>
          <cell r="G796">
            <v>21.710240213625369</v>
          </cell>
          <cell r="H796">
            <v>3.2281004574355574</v>
          </cell>
          <cell r="I796">
            <v>6.6082740432528788E-5</v>
          </cell>
        </row>
        <row r="797">
          <cell r="A797" t="str">
            <v>D-RLFO</v>
          </cell>
          <cell r="B797" t="str">
            <v>VAR_fin</v>
          </cell>
          <cell r="C797" t="str">
            <v>BDS</v>
          </cell>
          <cell r="F797">
            <v>1.2606685306591056E-4</v>
          </cell>
          <cell r="G797">
            <v>9.5984740495797373E-4</v>
          </cell>
          <cell r="H797">
            <v>9.1954802197284017E-4</v>
          </cell>
          <cell r="I797">
            <v>0.15251026604128287</v>
          </cell>
        </row>
        <row r="798">
          <cell r="A798" t="str">
            <v>D-SCOM_LTH_CHPBIO</v>
          </cell>
          <cell r="B798" t="str">
            <v>VAR_fout</v>
          </cell>
          <cell r="C798" t="str">
            <v>SCOM_LTH_CHPBIO_ON</v>
          </cell>
          <cell r="D798">
            <v>1.4243188333795027</v>
          </cell>
          <cell r="E798">
            <v>1.5428062695770901</v>
          </cell>
        </row>
        <row r="799">
          <cell r="A799" t="str">
            <v>D-SCOM_LTH_CHPBIO</v>
          </cell>
          <cell r="B799" t="str">
            <v>VAR_fout</v>
          </cell>
          <cell r="C799" t="str">
            <v>LTH</v>
          </cell>
          <cell r="E799">
            <v>3.5525342530632047E-2</v>
          </cell>
        </row>
        <row r="800">
          <cell r="A800" t="str">
            <v>D-SCOM_LTH_CHPBIO</v>
          </cell>
          <cell r="B800" t="str">
            <v>VAR_fin</v>
          </cell>
          <cell r="C800" t="str">
            <v>SCOM_LTH_CHPBIO</v>
          </cell>
          <cell r="D800">
            <v>1.4243188333795027</v>
          </cell>
          <cell r="E800">
            <v>1.5783316121077213</v>
          </cell>
        </row>
        <row r="801">
          <cell r="A801" t="str">
            <v>D-SCOM_NKEV_GAS_ELC_CHP</v>
          </cell>
          <cell r="B801" t="str">
            <v>VAR_fout</v>
          </cell>
          <cell r="C801" t="str">
            <v>ELC5</v>
          </cell>
          <cell r="D801">
            <v>0.28448463169316351</v>
          </cell>
          <cell r="E801">
            <v>0.31346881174910146</v>
          </cell>
          <cell r="F801">
            <v>4.5179230399651962E-3</v>
          </cell>
          <cell r="G801">
            <v>3.414632551452202E-3</v>
          </cell>
          <cell r="H801">
            <v>1.5258378267050778E-3</v>
          </cell>
          <cell r="I801">
            <v>3.4279950899921785E-4</v>
          </cell>
        </row>
        <row r="802">
          <cell r="A802" t="str">
            <v>D-SCOM_NKEV_GAS_ELC_CHP</v>
          </cell>
          <cell r="B802" t="str">
            <v>VAR_fout</v>
          </cell>
          <cell r="C802" t="str">
            <v>SCOM_ELC</v>
          </cell>
          <cell r="D802">
            <v>0.30994377837741505</v>
          </cell>
          <cell r="E802">
            <v>0.31242440999165938</v>
          </cell>
          <cell r="F802">
            <v>4.5163133735419518E-3</v>
          </cell>
          <cell r="G802">
            <v>3.4185324363931722E-3</v>
          </cell>
          <cell r="H802">
            <v>1.5396532208738108E-3</v>
          </cell>
          <cell r="I802">
            <v>3.4271287769810051E-4</v>
          </cell>
        </row>
        <row r="803">
          <cell r="A803" t="str">
            <v>D-SCOM_NKEV_GAS_ELC_CHP</v>
          </cell>
          <cell r="B803" t="str">
            <v>VAR_fin</v>
          </cell>
          <cell r="C803" t="str">
            <v>SCOM_NKEV_GAS_ELC_CHP</v>
          </cell>
          <cell r="D803">
            <v>0.59442841007057878</v>
          </cell>
          <cell r="E803">
            <v>0.62589322174076079</v>
          </cell>
          <cell r="F803">
            <v>9.0051710877723304E-3</v>
          </cell>
          <cell r="G803">
            <v>6.8331649878453785E-3</v>
          </cell>
          <cell r="H803">
            <v>3.0654910475788862E-3</v>
          </cell>
          <cell r="I803">
            <v>6.8551238669731826E-4</v>
          </cell>
        </row>
        <row r="804">
          <cell r="A804" t="str">
            <v>RHEM-SHLTHDH</v>
          </cell>
          <cell r="B804" t="str">
            <v>VAR_fout</v>
          </cell>
          <cell r="C804" t="str">
            <v>RHEM-SHLTHD</v>
          </cell>
          <cell r="D804">
            <v>3.3698438342514541</v>
          </cell>
          <cell r="E804">
            <v>3.7887464590434097</v>
          </cell>
          <cell r="F804">
            <v>4.4454891267211254</v>
          </cell>
          <cell r="G804">
            <v>6.5686402415463814</v>
          </cell>
          <cell r="H804">
            <v>6.2633783942729098</v>
          </cell>
          <cell r="I804">
            <v>4.9337782433611546</v>
          </cell>
        </row>
        <row r="805">
          <cell r="A805" t="str">
            <v>RHEM-SHLTHDH</v>
          </cell>
          <cell r="B805" t="str">
            <v>VAR_fin</v>
          </cell>
          <cell r="C805" t="str">
            <v>RHEMLTHDHC</v>
          </cell>
          <cell r="D805">
            <v>3.3698438342514541</v>
          </cell>
          <cell r="E805">
            <v>3.7887464590434097</v>
          </cell>
          <cell r="F805">
            <v>4.4454891267211254</v>
          </cell>
          <cell r="G805">
            <v>6.5686402415463814</v>
          </cell>
          <cell r="H805">
            <v>6.2633783942729098</v>
          </cell>
          <cell r="I805">
            <v>4.9337782433611546</v>
          </cell>
        </row>
        <row r="806">
          <cell r="A806" t="str">
            <v>RHEM-SHLTHDH</v>
          </cell>
          <cell r="B806" t="str">
            <v>VAR_fin</v>
          </cell>
          <cell r="C806" t="str">
            <v>RHEM_LTH_DH</v>
          </cell>
          <cell r="D806">
            <v>3.4038826608600545</v>
          </cell>
          <cell r="E806">
            <v>3.827016625296376</v>
          </cell>
          <cell r="F806">
            <v>4.9828926541582819</v>
          </cell>
          <cell r="G806">
            <v>7.3548770001415837</v>
          </cell>
          <cell r="H806">
            <v>7.0130766796838175</v>
          </cell>
          <cell r="I806">
            <v>5.5243293576012942</v>
          </cell>
        </row>
        <row r="807">
          <cell r="A807" t="str">
            <v>RHEM-SHLTHDH</v>
          </cell>
          <cell r="B807" t="str">
            <v>VAR_ncap</v>
          </cell>
          <cell r="C807" t="str">
            <v>-</v>
          </cell>
          <cell r="D807">
            <v>2.3046604612603501E-7</v>
          </cell>
          <cell r="E807">
            <v>7.0464722243860495E-2</v>
          </cell>
          <cell r="F807">
            <v>0.169520187570875</v>
          </cell>
          <cell r="G807">
            <v>9.9526182441030203E-2</v>
          </cell>
          <cell r="H807">
            <v>8.8511629896988298E-2</v>
          </cell>
          <cell r="I807">
            <v>6.2791012686077605E-2</v>
          </cell>
        </row>
        <row r="808">
          <cell r="A808" t="str">
            <v>RHEM-SHLTHDH</v>
          </cell>
          <cell r="B808" t="str">
            <v>VAR_cap</v>
          </cell>
          <cell r="C808" t="str">
            <v>-</v>
          </cell>
          <cell r="D808">
            <v>0.31562569757773412</v>
          </cell>
          <cell r="E808">
            <v>0.27804065744664658</v>
          </cell>
          <cell r="F808">
            <v>0.42239829221088993</v>
          </cell>
          <cell r="G808">
            <v>0.46861173249512</v>
          </cell>
          <cell r="H808">
            <v>0.4512431273555591</v>
          </cell>
          <cell r="I808">
            <v>0.40575545285836095</v>
          </cell>
        </row>
        <row r="809">
          <cell r="A809" t="str">
            <v>D-ITOT_SOLELC</v>
          </cell>
          <cell r="B809" t="str">
            <v>VAR_fout</v>
          </cell>
          <cell r="C809" t="str">
            <v>ITOT_ELC</v>
          </cell>
          <cell r="D809">
            <v>3.512586832760856</v>
          </cell>
          <cell r="E809">
            <v>4.8460246946094845</v>
          </cell>
          <cell r="F809">
            <v>11.156195974730878</v>
          </cell>
          <cell r="G809">
            <v>12.020661629730697</v>
          </cell>
          <cell r="H809">
            <v>1.654851866978686</v>
          </cell>
          <cell r="I809">
            <v>12.144396152065756</v>
          </cell>
        </row>
        <row r="810">
          <cell r="A810" t="str">
            <v>D-ITOT_SOLELC</v>
          </cell>
          <cell r="B810" t="str">
            <v>VAR_fout</v>
          </cell>
          <cell r="C810" t="str">
            <v>ELC5</v>
          </cell>
          <cell r="D810">
            <v>5.3671669466770679E-3</v>
          </cell>
          <cell r="E810">
            <v>3.8189548539306088E-3</v>
          </cell>
          <cell r="F810">
            <v>3.7882877943225257E-3</v>
          </cell>
          <cell r="G810">
            <v>8.68567763658213E-2</v>
          </cell>
          <cell r="H810">
            <v>39.179443618781661</v>
          </cell>
          <cell r="I810">
            <v>52.189643622548253</v>
          </cell>
        </row>
        <row r="811">
          <cell r="A811" t="str">
            <v>D-ITOT_SOLELC</v>
          </cell>
          <cell r="B811" t="str">
            <v>VAR_fin</v>
          </cell>
          <cell r="C811" t="str">
            <v>ITOT_SOL_ELC</v>
          </cell>
          <cell r="D811">
            <v>3.517953999707534</v>
          </cell>
          <cell r="E811">
            <v>4.8498359217769194</v>
          </cell>
          <cell r="F811">
            <v>11.159984262525196</v>
          </cell>
          <cell r="G811">
            <v>12.107518406096519</v>
          </cell>
          <cell r="H811">
            <v>40.834295485760343</v>
          </cell>
          <cell r="I811">
            <v>64.334039774613956</v>
          </cell>
        </row>
        <row r="812">
          <cell r="A812" t="str">
            <v>D-SWOD</v>
          </cell>
          <cell r="B812" t="str">
            <v>VAR_fout</v>
          </cell>
          <cell r="C812" t="str">
            <v>SWOD</v>
          </cell>
          <cell r="D812">
            <v>8.5743805715352792</v>
          </cell>
          <cell r="E812">
            <v>9.981760903519314</v>
          </cell>
          <cell r="F812">
            <v>10.039788795627199</v>
          </cell>
          <cell r="G812">
            <v>8.5585151780486974</v>
          </cell>
          <cell r="H812">
            <v>4.4912916431081111</v>
          </cell>
          <cell r="I812">
            <v>1.8568908411529126</v>
          </cell>
        </row>
        <row r="813">
          <cell r="A813" t="str">
            <v>D-SWOD</v>
          </cell>
          <cell r="B813" t="str">
            <v>VAR_fin</v>
          </cell>
          <cell r="C813" t="str">
            <v>WOD</v>
          </cell>
          <cell r="D813">
            <v>8.5743805715352792</v>
          </cell>
          <cell r="E813">
            <v>9.981760903519314</v>
          </cell>
          <cell r="F813">
            <v>10.039788795627199</v>
          </cell>
          <cell r="G813">
            <v>8.5585151780486974</v>
          </cell>
          <cell r="H813">
            <v>4.4912916431081111</v>
          </cell>
          <cell r="I813">
            <v>1.8568908411529126</v>
          </cell>
        </row>
        <row r="814">
          <cell r="A814" t="str">
            <v>ITOT-PROCESSCO2CCS</v>
          </cell>
          <cell r="B814" t="str">
            <v>VAR_fout</v>
          </cell>
          <cell r="C814" t="str">
            <v>CO2_O</v>
          </cell>
          <cell r="H814">
            <v>6.1222863012156559E-3</v>
          </cell>
          <cell r="I814">
            <v>773.51057987077559</v>
          </cell>
        </row>
        <row r="815">
          <cell r="A815" t="str">
            <v>ITOT-PROCESSCO2CCS</v>
          </cell>
          <cell r="B815" t="str">
            <v>VAR_fout</v>
          </cell>
          <cell r="C815" t="str">
            <v>CO2</v>
          </cell>
          <cell r="H815">
            <v>-6.1222863012156603E-3</v>
          </cell>
          <cell r="I815">
            <v>-773.51057987077604</v>
          </cell>
        </row>
        <row r="816">
          <cell r="A816" t="str">
            <v>ITOT-PROCESSCO2CCS</v>
          </cell>
          <cell r="B816" t="str">
            <v>VAR_fin</v>
          </cell>
          <cell r="C816" t="str">
            <v>ITOT_ELC</v>
          </cell>
          <cell r="H816">
            <v>1.296484157904492E-5</v>
          </cell>
          <cell r="I816">
            <v>1.6380224044322309</v>
          </cell>
        </row>
        <row r="817">
          <cell r="A817" t="str">
            <v>ITOT-PROCESSCO2CCS</v>
          </cell>
          <cell r="B817" t="str">
            <v>VAR_fin</v>
          </cell>
          <cell r="C817" t="str">
            <v>ITOT_LTH_DH</v>
          </cell>
          <cell r="H817">
            <v>5.0418828362952434E-6</v>
          </cell>
          <cell r="I817">
            <v>0.63700871283475669</v>
          </cell>
        </row>
        <row r="818">
          <cell r="A818" t="str">
            <v>ITOT-PROCESSCO2CCS</v>
          </cell>
          <cell r="B818" t="str">
            <v>VAR_ncap</v>
          </cell>
          <cell r="C818" t="str">
            <v>-</v>
          </cell>
          <cell r="H818">
            <v>4.6170814474498001E-2</v>
          </cell>
          <cell r="I818">
            <v>2386.4420357265599</v>
          </cell>
        </row>
        <row r="819">
          <cell r="A819" t="str">
            <v>ITOT-PROCESSCO2CCS</v>
          </cell>
          <cell r="B819" t="str">
            <v>VAR_cap</v>
          </cell>
          <cell r="C819" t="str">
            <v>-</v>
          </cell>
          <cell r="H819">
            <v>4.6170814474498001E-2</v>
          </cell>
          <cell r="I819">
            <v>2386.4882065410302</v>
          </cell>
        </row>
        <row r="820">
          <cell r="A820" t="str">
            <v>D-RSH2R</v>
          </cell>
          <cell r="B820" t="str">
            <v>VAR_fout</v>
          </cell>
          <cell r="C820" t="str">
            <v>RSH2</v>
          </cell>
          <cell r="G820">
            <v>6.7348069079319018E-4</v>
          </cell>
          <cell r="H820">
            <v>1.6391048484437387E-4</v>
          </cell>
          <cell r="I820">
            <v>8.3246376531358815E-3</v>
          </cell>
        </row>
        <row r="821">
          <cell r="A821" t="str">
            <v>D-RSH2R</v>
          </cell>
          <cell r="B821" t="str">
            <v>VAR_fin</v>
          </cell>
          <cell r="C821" t="str">
            <v>H2</v>
          </cell>
          <cell r="G821">
            <v>6.7348069079319018E-4</v>
          </cell>
          <cell r="H821">
            <v>1.6391048484437387E-4</v>
          </cell>
          <cell r="I821">
            <v>8.3246376531358815E-3</v>
          </cell>
        </row>
        <row r="822">
          <cell r="A822" t="str">
            <v>D-RSH2R</v>
          </cell>
          <cell r="B822" t="str">
            <v>VAR_ncap</v>
          </cell>
          <cell r="C822" t="str">
            <v>-</v>
          </cell>
          <cell r="G822">
            <v>1.1038905295344101E-4</v>
          </cell>
          <cell r="H822">
            <v>1.2439462202875601E-4</v>
          </cell>
          <cell r="I822">
            <v>6.7560491870872401E-4</v>
          </cell>
        </row>
        <row r="823">
          <cell r="A823" t="str">
            <v>D-RSH2R</v>
          </cell>
          <cell r="B823" t="str">
            <v>VAR_cap</v>
          </cell>
          <cell r="C823" t="str">
            <v>-</v>
          </cell>
          <cell r="G823">
            <v>1.1038905295344101E-4</v>
          </cell>
          <cell r="H823">
            <v>1.4305008576854001E-4</v>
          </cell>
          <cell r="I823">
            <v>7.1821271973430501E-4</v>
          </cell>
        </row>
        <row r="824">
          <cell r="A824" t="str">
            <v>SCOM-SHLTHCHPBIO</v>
          </cell>
          <cell r="B824" t="str">
            <v>VAR_fout</v>
          </cell>
          <cell r="C824" t="str">
            <v>SCOM-SHLTHC-BIO</v>
          </cell>
          <cell r="D824">
            <v>1.4100756450457057</v>
          </cell>
          <cell r="E824">
            <v>1.5273782068813191</v>
          </cell>
        </row>
        <row r="825">
          <cell r="A825" t="str">
            <v>SCOM-SHLTHCHPBIO</v>
          </cell>
          <cell r="B825" t="str">
            <v>VAR_fin</v>
          </cell>
          <cell r="C825" t="str">
            <v>SCOM_LTH_CHPBIO_ON</v>
          </cell>
          <cell r="D825">
            <v>1.4243188333795027</v>
          </cell>
          <cell r="E825">
            <v>1.5428062695770901</v>
          </cell>
        </row>
        <row r="826">
          <cell r="A826" t="str">
            <v>SCOM-SHLTHCHPBIO</v>
          </cell>
          <cell r="B826" t="str">
            <v>VAR_fin</v>
          </cell>
          <cell r="C826" t="str">
            <v>SCOMLTHCHPC</v>
          </cell>
          <cell r="D826">
            <v>1.4100756450457057</v>
          </cell>
          <cell r="E826">
            <v>1.5273782068813191</v>
          </cell>
        </row>
        <row r="827">
          <cell r="A827" t="str">
            <v>SCOM-SHLTHCHPBIO</v>
          </cell>
          <cell r="B827" t="str">
            <v>VAR_ncap</v>
          </cell>
          <cell r="C827" t="str">
            <v>-</v>
          </cell>
          <cell r="D827">
            <v>5.1363055578506595E-7</v>
          </cell>
          <cell r="E827">
            <v>5.4765906654448401E-2</v>
          </cell>
          <cell r="F827">
            <v>4.9161955764049803E-2</v>
          </cell>
          <cell r="G827">
            <v>3.8504371660008502E-2</v>
          </cell>
          <cell r="H827">
            <v>0.32764722459593298</v>
          </cell>
          <cell r="I827">
            <v>5.7847453515135101E-2</v>
          </cell>
        </row>
        <row r="828">
          <cell r="A828" t="str">
            <v>SCOM-SHLTHCHPBIO</v>
          </cell>
          <cell r="B828" t="str">
            <v>VAR_cap</v>
          </cell>
          <cell r="C828" t="str">
            <v>-</v>
          </cell>
          <cell r="D828">
            <v>0.10914020120959478</v>
          </cell>
          <cell r="E828">
            <v>0.1209393716862425</v>
          </cell>
          <cell r="F828">
            <v>0.10732917570007899</v>
          </cell>
          <cell r="G828">
            <v>9.3815118500351014E-2</v>
          </cell>
          <cell r="H828">
            <v>0.39822987014190891</v>
          </cell>
          <cell r="I828">
            <v>0.2676637772268774</v>
          </cell>
        </row>
        <row r="829">
          <cell r="A829" t="str">
            <v>D-RSH2</v>
          </cell>
          <cell r="B829" t="str">
            <v>VAR_fout</v>
          </cell>
          <cell r="C829" t="str">
            <v>RSH2</v>
          </cell>
          <cell r="G829">
            <v>6.4565199291044366E-4</v>
          </cell>
          <cell r="H829">
            <v>1.6524538271346038E-4</v>
          </cell>
          <cell r="I829">
            <v>4.1603344649094095E-3</v>
          </cell>
        </row>
        <row r="830">
          <cell r="A830" t="str">
            <v>D-RSH2</v>
          </cell>
          <cell r="B830" t="str">
            <v>VAR_fin</v>
          </cell>
          <cell r="C830" t="str">
            <v>H2</v>
          </cell>
          <cell r="G830">
            <v>6.5057082031725905E-4</v>
          </cell>
          <cell r="H830">
            <v>1.6650428615721266E-4</v>
          </cell>
          <cell r="I830">
            <v>4.1920295071492175E-3</v>
          </cell>
        </row>
        <row r="831">
          <cell r="A831" t="str">
            <v>D-RSH2</v>
          </cell>
          <cell r="B831" t="str">
            <v>VAR_ncap</v>
          </cell>
          <cell r="C831" t="str">
            <v>-</v>
          </cell>
          <cell r="G831">
            <v>1.4606218944356701E-4</v>
          </cell>
          <cell r="H831">
            <v>5.1707201720972701E-6</v>
          </cell>
          <cell r="I831">
            <v>1.64764499960361E-4</v>
          </cell>
        </row>
        <row r="832">
          <cell r="A832" t="str">
            <v>D-RSH2</v>
          </cell>
          <cell r="B832" t="str">
            <v>VAR_cap</v>
          </cell>
          <cell r="C832" t="str">
            <v>-</v>
          </cell>
          <cell r="G832">
            <v>1.4606218944356701E-4</v>
          </cell>
          <cell r="H832">
            <v>2.24036924067444E-4</v>
          </cell>
          <cell r="I832">
            <v>3.8880142402780498E-4</v>
          </cell>
        </row>
        <row r="833">
          <cell r="A833" t="str">
            <v>RHES-SHNGABR</v>
          </cell>
          <cell r="B833" t="str">
            <v>VAR_fout</v>
          </cell>
          <cell r="C833" t="str">
            <v>CO2_R</v>
          </cell>
          <cell r="D833">
            <v>1043.13615489886</v>
          </cell>
          <cell r="E833">
            <v>1044.9061143495501</v>
          </cell>
          <cell r="F833">
            <v>639.99940425230704</v>
          </cell>
          <cell r="G833">
            <v>411.292693816064</v>
          </cell>
          <cell r="H833">
            <v>98.090140953256807</v>
          </cell>
          <cell r="I833">
            <v>42.605463854671598</v>
          </cell>
        </row>
        <row r="834">
          <cell r="A834" t="str">
            <v>RHES-SHNGABR</v>
          </cell>
          <cell r="B834" t="str">
            <v>VAR_fout</v>
          </cell>
          <cell r="C834" t="str">
            <v>RHES-SHNGA</v>
          </cell>
          <cell r="D834">
            <v>17.57055580060133</v>
          </cell>
          <cell r="E834">
            <v>17.600368947377262</v>
          </cell>
          <cell r="F834">
            <v>10.408376096754456</v>
          </cell>
          <cell r="G834">
            <v>6.6888953562169586</v>
          </cell>
          <cell r="H834">
            <v>1.5952500449870142</v>
          </cell>
          <cell r="I834">
            <v>0.70766386764772393</v>
          </cell>
        </row>
        <row r="835">
          <cell r="A835" t="str">
            <v>RHES-SHNGABR</v>
          </cell>
          <cell r="B835" t="str">
            <v>VAR_fin</v>
          </cell>
          <cell r="C835" t="str">
            <v>RNGA</v>
          </cell>
          <cell r="D835">
            <v>18.495321895369809</v>
          </cell>
          <cell r="E835">
            <v>18.526704155133952</v>
          </cell>
          <cell r="F835">
            <v>11.347507167594083</v>
          </cell>
          <cell r="G835">
            <v>7.2924236492209884</v>
          </cell>
          <cell r="H835">
            <v>1.7391868963343438</v>
          </cell>
          <cell r="I835">
            <v>0.75541602579204847</v>
          </cell>
        </row>
        <row r="836">
          <cell r="A836" t="str">
            <v>RHES-SHNGABR</v>
          </cell>
          <cell r="B836" t="str">
            <v>VAR_ncap</v>
          </cell>
          <cell r="C836" t="str">
            <v>-</v>
          </cell>
          <cell r="E836">
            <v>6.6035054902673801E-6</v>
          </cell>
          <cell r="F836">
            <v>2.38256671223206E-7</v>
          </cell>
          <cell r="G836">
            <v>5.4109001266319204E-7</v>
          </cell>
          <cell r="H836">
            <v>0.111934685977124</v>
          </cell>
          <cell r="I836">
            <v>4.5737648845113102E-7</v>
          </cell>
        </row>
        <row r="837">
          <cell r="A837" t="str">
            <v>RHES-SHNGABR</v>
          </cell>
          <cell r="B837" t="str">
            <v>VAR_cap</v>
          </cell>
          <cell r="C837" t="str">
            <v>-</v>
          </cell>
          <cell r="D837">
            <v>1.4219190615860799</v>
          </cell>
          <cell r="E837">
            <v>1.421925475169727</v>
          </cell>
          <cell r="F837">
            <v>1.1901217915065665</v>
          </cell>
          <cell r="G837">
            <v>1.1899965270659241</v>
          </cell>
          <cell r="H837">
            <v>0.12892827829845568</v>
          </cell>
          <cell r="I837">
            <v>8.8377498932694587E-2</v>
          </cell>
        </row>
        <row r="838">
          <cell r="A838" t="str">
            <v>SCOM-SHLTHCHPHFC</v>
          </cell>
          <cell r="B838" t="str">
            <v>VAR_ncap</v>
          </cell>
          <cell r="C838" t="str">
            <v>-</v>
          </cell>
          <cell r="G838">
            <v>1.2273542991288099E-4</v>
          </cell>
          <cell r="H838">
            <v>5.22793255528292E-5</v>
          </cell>
          <cell r="I838">
            <v>1.0968486114869499E-3</v>
          </cell>
        </row>
        <row r="839">
          <cell r="A839" t="str">
            <v>SCOM-SHLTHCHPHFC</v>
          </cell>
          <cell r="B839" t="str">
            <v>VAR_cap</v>
          </cell>
          <cell r="C839" t="str">
            <v>-</v>
          </cell>
          <cell r="G839">
            <v>1.2273542991288099E-4</v>
          </cell>
          <cell r="H839">
            <v>8.2975131209129009E-5</v>
          </cell>
          <cell r="I839">
            <v>1.1194610772251022E-3</v>
          </cell>
        </row>
        <row r="840">
          <cell r="A840" t="str">
            <v>RHSA-WHNGABR</v>
          </cell>
          <cell r="B840" t="str">
            <v>VAR_fout</v>
          </cell>
          <cell r="C840" t="str">
            <v>RHSA-WHNGA</v>
          </cell>
          <cell r="D840">
            <v>6.3804714197084724</v>
          </cell>
          <cell r="E840">
            <v>5.5409876753448675</v>
          </cell>
          <cell r="F840">
            <v>5.088161099711094</v>
          </cell>
          <cell r="G840">
            <v>2.9158369699585345</v>
          </cell>
          <cell r="H840">
            <v>0.77217449650860281</v>
          </cell>
          <cell r="I840">
            <v>0.33580317520106551</v>
          </cell>
        </row>
        <row r="841">
          <cell r="A841" t="str">
            <v>RHSA-WHNGABR</v>
          </cell>
          <cell r="B841" t="str">
            <v>VAR_fout</v>
          </cell>
          <cell r="C841" t="str">
            <v>CO2_R</v>
          </cell>
          <cell r="D841">
            <v>479.81145076207702</v>
          </cell>
          <cell r="E841">
            <v>414.47175714781201</v>
          </cell>
          <cell r="F841">
            <v>543.94433326496903</v>
          </cell>
          <cell r="G841">
            <v>298.421938731529</v>
          </cell>
          <cell r="H841">
            <v>78.891206171441098</v>
          </cell>
          <cell r="I841">
            <v>34.308200604391097</v>
          </cell>
        </row>
        <row r="842">
          <cell r="A842" t="str">
            <v>RHSA-WHNGABR</v>
          </cell>
          <cell r="B842" t="str">
            <v>VAR_fin</v>
          </cell>
          <cell r="C842" t="str">
            <v>RNGA</v>
          </cell>
          <cell r="D842">
            <v>8.5072952262779609</v>
          </cell>
          <cell r="E842">
            <v>7.348790020351287</v>
          </cell>
          <cell r="F842">
            <v>9.6444030720739136</v>
          </cell>
          <cell r="G842">
            <v>5.2911691264455554</v>
          </cell>
          <cell r="H842">
            <v>1.398780251266688</v>
          </cell>
          <cell r="I842">
            <v>0.60830142915587027</v>
          </cell>
        </row>
        <row r="843">
          <cell r="A843" t="str">
            <v>RHSA-WHNGABR</v>
          </cell>
          <cell r="B843" t="str">
            <v>VAR_ncap</v>
          </cell>
          <cell r="C843" t="str">
            <v>-</v>
          </cell>
          <cell r="E843">
            <v>6.8901539162543602E-7</v>
          </cell>
          <cell r="F843">
            <v>5.6280170368807204E-7</v>
          </cell>
          <cell r="G843">
            <v>7.7969495916683897E-7</v>
          </cell>
          <cell r="H843">
            <v>2.8279532646178902E-2</v>
          </cell>
          <cell r="I843">
            <v>1.1784726151263899E-6</v>
          </cell>
        </row>
        <row r="844">
          <cell r="A844" t="str">
            <v>RHSA-WHNGABR</v>
          </cell>
          <cell r="B844" t="str">
            <v>VAR_cap</v>
          </cell>
          <cell r="C844" t="str">
            <v>-</v>
          </cell>
          <cell r="D844">
            <v>0.43610075802020798</v>
          </cell>
          <cell r="E844">
            <v>0.43514927131158226</v>
          </cell>
          <cell r="F844">
            <v>0.42895062796821415</v>
          </cell>
          <cell r="G844">
            <v>0.36399259920242744</v>
          </cell>
          <cell r="H844">
            <v>5.6885254651189959E-2</v>
          </cell>
          <cell r="I844">
            <v>3.2562864489940349E-2</v>
          </cell>
        </row>
        <row r="845">
          <cell r="A845" t="str">
            <v>ITOT-SWHWSTBR</v>
          </cell>
          <cell r="B845" t="str">
            <v>VAR_fout</v>
          </cell>
          <cell r="C845" t="str">
            <v>ITOT-SWH</v>
          </cell>
          <cell r="D845">
            <v>4.1173882482241346</v>
          </cell>
          <cell r="E845">
            <v>4.2663598536538423</v>
          </cell>
          <cell r="F845">
            <v>2.9612546954136878</v>
          </cell>
          <cell r="G845">
            <v>2.9281883194416984</v>
          </cell>
          <cell r="H845">
            <v>2.9093169449244569</v>
          </cell>
          <cell r="I845">
            <v>3.4751058794456676E-5</v>
          </cell>
        </row>
        <row r="846">
          <cell r="A846" t="str">
            <v>ITOT-SWHWSTBR</v>
          </cell>
          <cell r="B846" t="str">
            <v>VAR_fout</v>
          </cell>
          <cell r="C846" t="str">
            <v>CO2_I</v>
          </cell>
          <cell r="D846">
            <v>723.66217696060505</v>
          </cell>
          <cell r="E846">
            <v>749.84506518764499</v>
          </cell>
          <cell r="F846">
            <v>520.46294646664899</v>
          </cell>
          <cell r="G846">
            <v>514.65128038672299</v>
          </cell>
          <cell r="H846">
            <v>511.33449335035903</v>
          </cell>
          <cell r="I846">
            <v>5.9281217943484904E-3</v>
          </cell>
        </row>
        <row r="847">
          <cell r="A847" t="str">
            <v>ITOT-SWHWSTBR</v>
          </cell>
          <cell r="B847" t="str">
            <v>VAR_fin</v>
          </cell>
          <cell r="C847" t="str">
            <v>IWST</v>
          </cell>
          <cell r="D847">
            <v>7.7980838034548032</v>
          </cell>
          <cell r="E847">
            <v>8.0802269955565205</v>
          </cell>
          <cell r="F847">
            <v>5.6084369231319844</v>
          </cell>
          <cell r="G847">
            <v>5.5458112110638282</v>
          </cell>
          <cell r="H847">
            <v>5.5100699714478365</v>
          </cell>
          <cell r="I847">
            <v>6.3880622783927664E-5</v>
          </cell>
        </row>
        <row r="848">
          <cell r="A848" t="str">
            <v>ITOT-SWHWSTBR</v>
          </cell>
          <cell r="B848" t="str">
            <v>VAR_ncap</v>
          </cell>
          <cell r="C848" t="str">
            <v>-</v>
          </cell>
          <cell r="E848">
            <v>1.19527121997001E-5</v>
          </cell>
          <cell r="F848">
            <v>1.0446382531454E-5</v>
          </cell>
          <cell r="G848">
            <v>2.2464071711535201E-4</v>
          </cell>
          <cell r="H848">
            <v>8.5964501851606104E-2</v>
          </cell>
          <cell r="I848">
            <v>7.9149617584059007E-6</v>
          </cell>
        </row>
        <row r="849">
          <cell r="A849" t="str">
            <v>ITOT-SWHWSTBR</v>
          </cell>
          <cell r="B849" t="str">
            <v>VAR_cap</v>
          </cell>
          <cell r="C849" t="str">
            <v>-</v>
          </cell>
          <cell r="D849">
            <v>0.35954682816669398</v>
          </cell>
          <cell r="E849">
            <v>0.32719731144226682</v>
          </cell>
          <cell r="F849">
            <v>0.32156501090111966</v>
          </cell>
          <cell r="G849">
            <v>0.24206190668107347</v>
          </cell>
          <cell r="H849">
            <v>0.21033551594523167</v>
          </cell>
          <cell r="I849">
            <v>3.4452259250056239E-6</v>
          </cell>
        </row>
        <row r="850">
          <cell r="A850" t="str">
            <v>SCOM-SHSTG-ELC</v>
          </cell>
          <cell r="B850" t="str">
            <v>VAR_fout</v>
          </cell>
          <cell r="C850" t="str">
            <v>SCOM-SHAELCB</v>
          </cell>
          <cell r="D850">
            <v>6.6233590313144071E-5</v>
          </cell>
          <cell r="E850">
            <v>1.243494916376665E-4</v>
          </cell>
          <cell r="F850">
            <v>8.2261844448824333E-5</v>
          </cell>
          <cell r="G850">
            <v>6.3418298403957558E-5</v>
          </cell>
          <cell r="H850">
            <v>7.2719773072005452E-5</v>
          </cell>
          <cell r="I850">
            <v>2.2586943988949438E-5</v>
          </cell>
        </row>
        <row r="851">
          <cell r="A851" t="str">
            <v>SCOM-SHSTG-ELC</v>
          </cell>
          <cell r="B851" t="str">
            <v>VAR_fin</v>
          </cell>
          <cell r="C851" t="str">
            <v>SCOM-SHAELCB</v>
          </cell>
          <cell r="D851">
            <v>5.5114932634679501E-5</v>
          </cell>
          <cell r="E851">
            <v>1.5476837889364674E-4</v>
          </cell>
          <cell r="F851">
            <v>8.8240900020723526E-5</v>
          </cell>
          <cell r="G851">
            <v>7.4031173626017789E-5</v>
          </cell>
          <cell r="H851">
            <v>8.4197221833806485E-5</v>
          </cell>
          <cell r="I851">
            <v>2.2237669075357757E-5</v>
          </cell>
        </row>
        <row r="852">
          <cell r="A852" t="str">
            <v>SCOM-SHSTG-ELC</v>
          </cell>
          <cell r="B852" t="str">
            <v>VAR_ncap</v>
          </cell>
          <cell r="C852" t="str">
            <v>-</v>
          </cell>
          <cell r="D852">
            <v>1.6586210149120699E-2</v>
          </cell>
          <cell r="E852">
            <v>1.6395898306990799E-3</v>
          </cell>
          <cell r="F852">
            <v>4.2688140109344301E-5</v>
          </cell>
          <cell r="G852">
            <v>5.3720034157769502E-5</v>
          </cell>
          <cell r="H852">
            <v>2.8778440719891499E-3</v>
          </cell>
          <cell r="I852">
            <v>7.7146869846951598E-5</v>
          </cell>
        </row>
        <row r="853">
          <cell r="A853" t="str">
            <v>SCOM-SHSTG-ELC</v>
          </cell>
          <cell r="B853" t="str">
            <v>VAR_cap</v>
          </cell>
          <cell r="C853" t="str">
            <v>-</v>
          </cell>
          <cell r="D853">
            <v>1.6586210149120699E-2</v>
          </cell>
          <cell r="E853">
            <v>1.7864125434800048E-2</v>
          </cell>
          <cell r="F853">
            <v>1.5852302784774942E-2</v>
          </cell>
          <cell r="G853">
            <v>9.6700252146695795E-3</v>
          </cell>
          <cell r="H853">
            <v>7.0916456489869897E-3</v>
          </cell>
          <cell r="I853">
            <v>3.7001146919780239E-3</v>
          </cell>
        </row>
        <row r="854">
          <cell r="A854" t="str">
            <v>SCOM-SHNGABR</v>
          </cell>
          <cell r="B854" t="str">
            <v>VAR_fout</v>
          </cell>
          <cell r="C854" t="str">
            <v>CO2_S</v>
          </cell>
          <cell r="D854">
            <v>1440.94658339637</v>
          </cell>
          <cell r="E854">
            <v>1508.68843425056</v>
          </cell>
          <cell r="F854">
            <v>1230.4269119066</v>
          </cell>
          <cell r="G854">
            <v>754.342489249393</v>
          </cell>
          <cell r="H854">
            <v>127.727521402039</v>
          </cell>
          <cell r="I854">
            <v>51.658956905746102</v>
          </cell>
        </row>
        <row r="855">
          <cell r="A855" t="str">
            <v>SCOM-SHNGABR</v>
          </cell>
          <cell r="B855" t="str">
            <v>VAR_fout</v>
          </cell>
          <cell r="C855" t="str">
            <v>SCOM-SHNGA</v>
          </cell>
          <cell r="D855">
            <v>24.189724974022322</v>
          </cell>
          <cell r="E855">
            <v>25.326933500886469</v>
          </cell>
          <cell r="F855">
            <v>18.570956807508022</v>
          </cell>
          <cell r="G855">
            <v>11.578184081278469</v>
          </cell>
          <cell r="H855">
            <v>1.9604526804658329</v>
          </cell>
          <cell r="I855">
            <v>0.79289834660740854</v>
          </cell>
        </row>
        <row r="856">
          <cell r="A856" t="str">
            <v>SCOM-SHNGABR</v>
          </cell>
          <cell r="B856" t="str">
            <v>VAR_fin</v>
          </cell>
          <cell r="C856" t="str">
            <v>SNGA</v>
          </cell>
          <cell r="D856">
            <v>25.548698287169604</v>
          </cell>
          <cell r="E856">
            <v>26.749794933520509</v>
          </cell>
          <cell r="F856">
            <v>21.816079998344048</v>
          </cell>
          <cell r="G856">
            <v>13.374866830662985</v>
          </cell>
          <cell r="H856">
            <v>2.2646723652843761</v>
          </cell>
          <cell r="I856">
            <v>0.91593895222954158</v>
          </cell>
        </row>
        <row r="857">
          <cell r="A857" t="str">
            <v>SCOM-SHNGABR</v>
          </cell>
          <cell r="B857" t="str">
            <v>VAR_ncap</v>
          </cell>
          <cell r="C857" t="str">
            <v>-</v>
          </cell>
          <cell r="D857">
            <v>3.8502877965161002E-7</v>
          </cell>
          <cell r="E857">
            <v>1.8239648067302801E-6</v>
          </cell>
          <cell r="F857">
            <v>1.52236128297734E-6</v>
          </cell>
          <cell r="G857">
            <v>2.5471679521778199E-6</v>
          </cell>
          <cell r="H857">
            <v>2.52036154441019E-2</v>
          </cell>
          <cell r="I857">
            <v>1.5568749785689601E-5</v>
          </cell>
        </row>
        <row r="858">
          <cell r="A858" t="str">
            <v>SCOM-SHNGABR</v>
          </cell>
          <cell r="B858" t="str">
            <v>VAR_cap</v>
          </cell>
          <cell r="C858" t="str">
            <v>-</v>
          </cell>
          <cell r="D858">
            <v>2.7746818829039994</v>
          </cell>
          <cell r="E858">
            <v>2.7741897032148231</v>
          </cell>
          <cell r="F858">
            <v>1.9684850616683784</v>
          </cell>
          <cell r="G858">
            <v>1.9682800587975715</v>
          </cell>
          <cell r="H858">
            <v>0.20622837647223785</v>
          </cell>
          <cell r="I858">
            <v>9.4876115681187062E-2</v>
          </cell>
        </row>
        <row r="859">
          <cell r="A859" t="str">
            <v>RHEM-SHELCHP</v>
          </cell>
          <cell r="B859" t="str">
            <v>VAR_fout</v>
          </cell>
          <cell r="C859" t="str">
            <v>RHEM-SHAELCH</v>
          </cell>
          <cell r="D859">
            <v>9.9025961623832437</v>
          </cell>
          <cell r="E859">
            <v>11.655240224084508</v>
          </cell>
          <cell r="F859">
            <v>11.007551885011022</v>
          </cell>
          <cell r="G859">
            <v>19.04997089384284</v>
          </cell>
          <cell r="H859">
            <v>27.621547067413733</v>
          </cell>
          <cell r="I859">
            <v>24.893699536296126</v>
          </cell>
        </row>
        <row r="860">
          <cell r="A860" t="str">
            <v>RHEM-SHELCHP</v>
          </cell>
          <cell r="B860" t="str">
            <v>VAR_fin</v>
          </cell>
          <cell r="C860" t="str">
            <v>RHEMELCHPC</v>
          </cell>
          <cell r="D860">
            <v>9.9025961623832437</v>
          </cell>
          <cell r="E860">
            <v>11.655240224084508</v>
          </cell>
          <cell r="F860">
            <v>11.007551885011022</v>
          </cell>
          <cell r="G860">
            <v>19.04997089384284</v>
          </cell>
          <cell r="H860">
            <v>27.621547067413733</v>
          </cell>
          <cell r="I860">
            <v>24.893699536296126</v>
          </cell>
        </row>
        <row r="861">
          <cell r="A861" t="str">
            <v>RHEM-SHELCHP</v>
          </cell>
          <cell r="B861" t="str">
            <v>VAR_fin</v>
          </cell>
          <cell r="C861" t="str">
            <v>RHEM_ELC</v>
          </cell>
          <cell r="D861">
            <v>3.0945613007447639</v>
          </cell>
          <cell r="E861">
            <v>3.5825533475669658</v>
          </cell>
          <cell r="F861">
            <v>3.5126768837702409</v>
          </cell>
          <cell r="G861">
            <v>5.4798333447650824</v>
          </cell>
          <cell r="H861">
            <v>7.1833971958873297</v>
          </cell>
          <cell r="I861">
            <v>5.9407762121334757</v>
          </cell>
        </row>
        <row r="862">
          <cell r="A862" t="str">
            <v>RHEM-SHELCHP</v>
          </cell>
          <cell r="B862" t="str">
            <v>VAR_ncap</v>
          </cell>
          <cell r="C862" t="str">
            <v>-</v>
          </cell>
          <cell r="D862">
            <v>1.4137214998532901E-6</v>
          </cell>
          <cell r="E862">
            <v>0.12376120413283299</v>
          </cell>
          <cell r="F862">
            <v>1.12011017274252E-6</v>
          </cell>
          <cell r="G862">
            <v>0.52223027662517896</v>
          </cell>
          <cell r="H862">
            <v>0.75256338454981297</v>
          </cell>
          <cell r="I862">
            <v>0.85484070556209601</v>
          </cell>
        </row>
        <row r="863">
          <cell r="A863" t="str">
            <v>RHEM-SHELCHP</v>
          </cell>
          <cell r="B863" t="str">
            <v>VAR_cap</v>
          </cell>
          <cell r="C863" t="str">
            <v>-</v>
          </cell>
          <cell r="D863">
            <v>0.69925336411349892</v>
          </cell>
          <cell r="E863">
            <v>0.82301441673460118</v>
          </cell>
          <cell r="F863">
            <v>0.82301239502968904</v>
          </cell>
          <cell r="G863">
            <v>1.3452444197888975</v>
          </cell>
          <cell r="H863">
            <v>1.9529919895327388</v>
          </cell>
          <cell r="I863">
            <v>1.7579038772946625</v>
          </cell>
        </row>
        <row r="864">
          <cell r="A864" t="str">
            <v>RHNM-SHSTG-ELC</v>
          </cell>
          <cell r="B864" t="str">
            <v>VAR_fout</v>
          </cell>
          <cell r="C864" t="str">
            <v>RHNM-SHAELCB</v>
          </cell>
          <cell r="E864">
            <v>4.3295664803515614E-6</v>
          </cell>
          <cell r="F864">
            <v>9.0380288716072546E-5</v>
          </cell>
          <cell r="G864">
            <v>2.3771628913216963E-4</v>
          </cell>
          <cell r="H864">
            <v>2.017781250590425E-4</v>
          </cell>
          <cell r="I864">
            <v>2.6673743345522128E-4</v>
          </cell>
        </row>
        <row r="865">
          <cell r="A865" t="str">
            <v>RHNM-SHSTG-ELC</v>
          </cell>
          <cell r="B865" t="str">
            <v>VAR_fin</v>
          </cell>
          <cell r="C865" t="str">
            <v>RHNM-SHAELCB</v>
          </cell>
          <cell r="E865">
            <v>3.9858542588416332E-6</v>
          </cell>
          <cell r="F865">
            <v>8.1313749626435428E-5</v>
          </cell>
          <cell r="G865">
            <v>2.3023869340174844E-4</v>
          </cell>
          <cell r="H865">
            <v>2.0594038691645292E-4</v>
          </cell>
          <cell r="I865">
            <v>2.6792987751189553E-4</v>
          </cell>
        </row>
        <row r="866">
          <cell r="A866" t="str">
            <v>RHNM-SHSTG-ELC</v>
          </cell>
          <cell r="B866" t="str">
            <v>VAR_ncap</v>
          </cell>
          <cell r="C866" t="str">
            <v>-</v>
          </cell>
          <cell r="D866">
            <v>1.83754954614875E-4</v>
          </cell>
          <cell r="E866">
            <v>2.6961949092567899E-3</v>
          </cell>
          <cell r="F866">
            <v>1.2435472775606401E-4</v>
          </cell>
          <cell r="G866">
            <v>1.08844797739901E-4</v>
          </cell>
          <cell r="H866">
            <v>9.3215549204929602E-5</v>
          </cell>
          <cell r="I866">
            <v>7.4371171188111494E-5</v>
          </cell>
        </row>
        <row r="867">
          <cell r="A867" t="str">
            <v>RHNM-SHSTG-ELC</v>
          </cell>
          <cell r="B867" t="str">
            <v>VAR_cap</v>
          </cell>
          <cell r="C867" t="str">
            <v>-</v>
          </cell>
          <cell r="D867">
            <v>1.83754954614875E-4</v>
          </cell>
          <cell r="E867">
            <v>2.8605991960131381E-3</v>
          </cell>
          <cell r="F867">
            <v>2.904075395333387E-3</v>
          </cell>
          <cell r="G867">
            <v>2.8557886795800239E-3</v>
          </cell>
          <cell r="H867">
            <v>3.7915372096090796E-4</v>
          </cell>
          <cell r="I867">
            <v>1.61873297208928E-4</v>
          </cell>
        </row>
        <row r="868">
          <cell r="A868" t="str">
            <v>D-RWOD</v>
          </cell>
          <cell r="B868" t="str">
            <v>VAR_fout</v>
          </cell>
          <cell r="C868" t="str">
            <v>RWOD</v>
          </cell>
          <cell r="D868">
            <v>13.72307548739454</v>
          </cell>
          <cell r="E868">
            <v>12.942394817971161</v>
          </cell>
          <cell r="F868">
            <v>16.815925394831353</v>
          </cell>
          <cell r="G868">
            <v>13.367946541273604</v>
          </cell>
          <cell r="H868">
            <v>7.6934607520342668</v>
          </cell>
          <cell r="I868">
            <v>3.3958673816561258</v>
          </cell>
        </row>
        <row r="869">
          <cell r="A869" t="str">
            <v>D-RWOD</v>
          </cell>
          <cell r="B869" t="str">
            <v>VAR_fin</v>
          </cell>
          <cell r="C869" t="str">
            <v>WOD</v>
          </cell>
          <cell r="D869">
            <v>13.72307548739454</v>
          </cell>
          <cell r="E869">
            <v>12.942394817971161</v>
          </cell>
          <cell r="F869">
            <v>16.815925394831353</v>
          </cell>
          <cell r="G869">
            <v>13.367946541273604</v>
          </cell>
          <cell r="H869">
            <v>7.6934607520342668</v>
          </cell>
          <cell r="I869">
            <v>3.3958673816561258</v>
          </cell>
        </row>
        <row r="870">
          <cell r="A870" t="str">
            <v>RHNS-SHLTHCHPWOD</v>
          </cell>
          <cell r="B870" t="str">
            <v>VAR_ncap</v>
          </cell>
          <cell r="C870" t="str">
            <v>-</v>
          </cell>
          <cell r="G870">
            <v>1.1474163172363399E-4</v>
          </cell>
          <cell r="H870">
            <v>7.4045480602750901E-5</v>
          </cell>
          <cell r="I870">
            <v>4.6569186122903101E-5</v>
          </cell>
        </row>
        <row r="871">
          <cell r="A871" t="str">
            <v>RHNS-SHLTHCHPWOD</v>
          </cell>
          <cell r="B871" t="str">
            <v>VAR_cap</v>
          </cell>
          <cell r="C871" t="str">
            <v>-</v>
          </cell>
          <cell r="G871">
            <v>1.1474163172363399E-4</v>
          </cell>
          <cell r="H871">
            <v>1.4129028460410298E-4</v>
          </cell>
          <cell r="I871">
            <v>7.5969907496743812E-5</v>
          </cell>
        </row>
        <row r="872">
          <cell r="A872" t="str">
            <v>RHNM-SHELCBR</v>
          </cell>
          <cell r="B872" t="str">
            <v>VAR_fout</v>
          </cell>
          <cell r="C872" t="str">
            <v>RHNM-SHAELCB</v>
          </cell>
          <cell r="E872">
            <v>0.15440107237275352</v>
          </cell>
          <cell r="F872">
            <v>1.3226600061871866E-3</v>
          </cell>
          <cell r="G872">
            <v>1.7304864056027324E-3</v>
          </cell>
          <cell r="H872">
            <v>1.6099672227526142E-3</v>
          </cell>
          <cell r="I872">
            <v>9.8256744482630985E-4</v>
          </cell>
        </row>
        <row r="873">
          <cell r="A873" t="str">
            <v>RHNM-SHELCBR</v>
          </cell>
          <cell r="B873" t="str">
            <v>VAR_fin</v>
          </cell>
          <cell r="C873" t="str">
            <v>RHNM_ELC</v>
          </cell>
          <cell r="E873">
            <v>0.16252744460289845</v>
          </cell>
          <cell r="F873">
            <v>1.3922736907233549E-3</v>
          </cell>
          <cell r="G873">
            <v>1.8215646374765595E-3</v>
          </cell>
          <cell r="H873">
            <v>1.6947023397395921E-3</v>
          </cell>
          <cell r="I873">
            <v>1.0342815208697986E-3</v>
          </cell>
        </row>
        <row r="874">
          <cell r="A874" t="str">
            <v>RHNM-SHELCBR</v>
          </cell>
          <cell r="B874" t="str">
            <v>VAR_ncap</v>
          </cell>
          <cell r="C874" t="str">
            <v>-</v>
          </cell>
          <cell r="E874">
            <v>1.23966656946977E-2</v>
          </cell>
        </row>
        <row r="875">
          <cell r="A875" t="str">
            <v>RHNM-SHELCBR</v>
          </cell>
          <cell r="B875" t="str">
            <v>VAR_cap</v>
          </cell>
          <cell r="C875" t="str">
            <v>-</v>
          </cell>
          <cell r="E875">
            <v>1.23966656946977E-2</v>
          </cell>
          <cell r="F875">
            <v>1.2336909158348409E-2</v>
          </cell>
          <cell r="G875">
            <v>1.2131665515162229E-2</v>
          </cell>
          <cell r="H875">
            <v>1.6149156315967278E-3</v>
          </cell>
          <cell r="I875">
            <v>6.8189645634201374E-4</v>
          </cell>
        </row>
        <row r="876">
          <cell r="A876" t="str">
            <v>RHNS-SHSTG-NGAHP</v>
          </cell>
          <cell r="B876" t="str">
            <v>VAR_fout</v>
          </cell>
          <cell r="C876" t="str">
            <v>RHNS-SHANGAH</v>
          </cell>
          <cell r="F876">
            <v>8.7210830148549932E-3</v>
          </cell>
          <cell r="G876">
            <v>3.2599159885422786E-2</v>
          </cell>
          <cell r="H876">
            <v>6.9268075425421682E-2</v>
          </cell>
          <cell r="I876">
            <v>0.11704723480433153</v>
          </cell>
        </row>
        <row r="877">
          <cell r="A877" t="str">
            <v>RHNS-SHSTG-NGAHP</v>
          </cell>
          <cell r="B877" t="str">
            <v>VAR_fin</v>
          </cell>
          <cell r="C877" t="str">
            <v>RHNS-SHANGAH</v>
          </cell>
          <cell r="F877">
            <v>8.7946292426552952E-3</v>
          </cell>
          <cell r="G877">
            <v>3.2672263818695944E-2</v>
          </cell>
          <cell r="H877">
            <v>6.9315545065798387E-2</v>
          </cell>
          <cell r="I877">
            <v>0.1171046421333342</v>
          </cell>
        </row>
        <row r="878">
          <cell r="A878" t="str">
            <v>RHNS-SHSTG-NGAHP</v>
          </cell>
          <cell r="B878" t="str">
            <v>VAR_ncap</v>
          </cell>
          <cell r="C878" t="str">
            <v>-</v>
          </cell>
          <cell r="D878">
            <v>1.9448331770230301E-5</v>
          </cell>
          <cell r="E878">
            <v>2.3416242881262802E-5</v>
          </cell>
          <cell r="F878">
            <v>2.4842671196095502E-3</v>
          </cell>
          <cell r="G878">
            <v>5.3841103214641497E-3</v>
          </cell>
          <cell r="H878">
            <v>4.9452815558260199E-3</v>
          </cell>
          <cell r="I878">
            <v>7.3138015377561903E-3</v>
          </cell>
        </row>
        <row r="879">
          <cell r="A879" t="str">
            <v>RHNS-SHSTG-NGAHP</v>
          </cell>
          <cell r="B879" t="str">
            <v>VAR_cap</v>
          </cell>
          <cell r="C879" t="str">
            <v>-</v>
          </cell>
          <cell r="D879">
            <v>1.9448331770230301E-5</v>
          </cell>
          <cell r="E879">
            <v>1.564559159768801E-6</v>
          </cell>
          <cell r="F879">
            <v>2.4706839925607254E-3</v>
          </cell>
          <cell r="G879">
            <v>7.8293982037247346E-3</v>
          </cell>
          <cell r="H879">
            <v>1.1903950973676813E-2</v>
          </cell>
          <cell r="I879">
            <v>1.2079296707391303E-2</v>
          </cell>
        </row>
        <row r="880">
          <cell r="A880" t="str">
            <v>RHNS-SHLTHDH</v>
          </cell>
          <cell r="B880" t="str">
            <v>VAR_fout</v>
          </cell>
          <cell r="C880" t="str">
            <v>RHNS-SHLTHD</v>
          </cell>
          <cell r="E880">
            <v>5.3942287679335704E-2</v>
          </cell>
          <cell r="F880">
            <v>3.2685098246608368E-3</v>
          </cell>
          <cell r="G880">
            <v>0.15403926908444468</v>
          </cell>
          <cell r="H880">
            <v>0.17485902919149252</v>
          </cell>
          <cell r="I880">
            <v>0.1894240015086851</v>
          </cell>
        </row>
        <row r="881">
          <cell r="A881" t="str">
            <v>RHNS-SHLTHDH</v>
          </cell>
          <cell r="B881" t="str">
            <v>VAR_fin</v>
          </cell>
          <cell r="C881" t="str">
            <v>RHNS_LTH_DH</v>
          </cell>
          <cell r="E881">
            <v>5.4487159272056246E-2</v>
          </cell>
          <cell r="F881">
            <v>3.6149622195462373E-3</v>
          </cell>
          <cell r="G881">
            <v>0.1694359261475169</v>
          </cell>
          <cell r="H881">
            <v>0.19217275021883046</v>
          </cell>
          <cell r="I881">
            <v>0.20817987778895311</v>
          </cell>
        </row>
        <row r="882">
          <cell r="A882" t="str">
            <v>RHNS-SHLTHDH</v>
          </cell>
          <cell r="B882" t="str">
            <v>VAR_fin</v>
          </cell>
          <cell r="C882" t="str">
            <v>RHNSLTHDHC</v>
          </cell>
          <cell r="E882">
            <v>5.3942287679335704E-2</v>
          </cell>
          <cell r="F882">
            <v>3.2685098246608368E-3</v>
          </cell>
          <cell r="G882">
            <v>0.15403926908444468</v>
          </cell>
          <cell r="H882">
            <v>0.17485902919149252</v>
          </cell>
          <cell r="I882">
            <v>0.1894240015086851</v>
          </cell>
        </row>
        <row r="883">
          <cell r="A883" t="str">
            <v>RHNS-SHLTHDH</v>
          </cell>
          <cell r="B883" t="str">
            <v>VAR_ncap</v>
          </cell>
          <cell r="C883" t="str">
            <v>-</v>
          </cell>
          <cell r="E883">
            <v>7.3472366456781204E-3</v>
          </cell>
          <cell r="F883">
            <v>1.6467661195664399E-2</v>
          </cell>
          <cell r="G883">
            <v>6.0151975132494099E-3</v>
          </cell>
          <cell r="H883">
            <v>9.5355091195853496E-3</v>
          </cell>
          <cell r="I883">
            <v>1.37825808132363E-2</v>
          </cell>
        </row>
        <row r="884">
          <cell r="A884" t="str">
            <v>RHNS-SHLTHDH</v>
          </cell>
          <cell r="B884" t="str">
            <v>VAR_cap</v>
          </cell>
          <cell r="C884" t="str">
            <v>-</v>
          </cell>
          <cell r="E884">
            <v>7.3472366456781204E-3</v>
          </cell>
          <cell r="F884">
            <v>2.07230290056169E-2</v>
          </cell>
          <cell r="G884">
            <v>1.1328641314305297E-2</v>
          </cell>
          <cell r="H884">
            <v>1.64436549956016E-2</v>
          </cell>
          <cell r="I884">
            <v>2.2138066425043706E-2</v>
          </cell>
        </row>
        <row r="885">
          <cell r="A885" t="str">
            <v>ITOT-SWHNGAHP</v>
          </cell>
          <cell r="B885" t="str">
            <v>VAR_fout</v>
          </cell>
          <cell r="C885" t="str">
            <v>ITOT-SWHANGAH</v>
          </cell>
          <cell r="H885">
            <v>1.4569990124936936E-3</v>
          </cell>
          <cell r="I885">
            <v>1.4565623555194461E-3</v>
          </cell>
        </row>
        <row r="886">
          <cell r="A886" t="str">
            <v>ITOT-SWHNGAHP</v>
          </cell>
          <cell r="B886" t="str">
            <v>VAR_fout</v>
          </cell>
          <cell r="C886" t="str">
            <v>CO2_I</v>
          </cell>
          <cell r="H886">
            <v>4.1171116668039499E-2</v>
          </cell>
          <cell r="I886">
            <v>3.96936448467878E-2</v>
          </cell>
        </row>
        <row r="887">
          <cell r="A887" t="str">
            <v>ITOT-SWHNGAHP</v>
          </cell>
          <cell r="B887" t="str">
            <v>VAR_fin</v>
          </cell>
          <cell r="C887" t="str">
            <v>ITOTELCHPC</v>
          </cell>
          <cell r="H887">
            <v>1.4569990124936936E-3</v>
          </cell>
          <cell r="I887">
            <v>1.4565623555194461E-3</v>
          </cell>
        </row>
        <row r="888">
          <cell r="A888" t="str">
            <v>ITOT-SWHNGAHP</v>
          </cell>
          <cell r="B888" t="str">
            <v>VAR_fin</v>
          </cell>
          <cell r="C888" t="str">
            <v>INGA</v>
          </cell>
          <cell r="H888">
            <v>7.2998433808580678E-4</v>
          </cell>
          <cell r="I888">
            <v>7.0378802919836433E-4</v>
          </cell>
        </row>
        <row r="889">
          <cell r="A889" t="str">
            <v>ITOT-SWHNGAHP</v>
          </cell>
          <cell r="B889" t="str">
            <v>VAR_ncap</v>
          </cell>
          <cell r="C889" t="str">
            <v>-</v>
          </cell>
          <cell r="E889">
            <v>1.03146710335858E-4</v>
          </cell>
          <cell r="F889">
            <v>5.3731667597317395E-4</v>
          </cell>
          <cell r="G889">
            <v>6.6763330922490702E-6</v>
          </cell>
          <cell r="H889">
            <v>4.5352994363836099E-5</v>
          </cell>
          <cell r="I889">
            <v>1.1541087683659799E-4</v>
          </cell>
        </row>
        <row r="890">
          <cell r="A890" t="str">
            <v>ITOT-SWHNGAHP</v>
          </cell>
          <cell r="B890" t="str">
            <v>VAR_cap</v>
          </cell>
          <cell r="C890" t="str">
            <v>-</v>
          </cell>
          <cell r="E890">
            <v>1.03146710335858E-4</v>
          </cell>
          <cell r="F890">
            <v>6.3947900669382028E-4</v>
          </cell>
          <cell r="G890">
            <v>6.4294639656765559E-4</v>
          </cell>
          <cell r="H890">
            <v>1.4793156004570029E-4</v>
          </cell>
          <cell r="I890">
            <v>1.4814162540137198E-4</v>
          </cell>
        </row>
        <row r="891">
          <cell r="A891" t="str">
            <v>RHSA-WHLFOBR</v>
          </cell>
          <cell r="B891" t="str">
            <v>VAR_fout</v>
          </cell>
          <cell r="C891" t="str">
            <v>CO2_R</v>
          </cell>
          <cell r="D891">
            <v>726.71442915514206</v>
          </cell>
          <cell r="E891">
            <v>571.56857603205299</v>
          </cell>
          <cell r="F891">
            <v>653.50521980946996</v>
          </cell>
          <cell r="G891">
            <v>254.51480792943801</v>
          </cell>
          <cell r="H891">
            <v>54.926009995073201</v>
          </cell>
          <cell r="I891">
            <v>1.6227522510180199</v>
          </cell>
        </row>
        <row r="892">
          <cell r="A892" t="str">
            <v>RHSA-WHLFOBR</v>
          </cell>
          <cell r="B892" t="str">
            <v>VAR_fout</v>
          </cell>
          <cell r="C892" t="str">
            <v>RHSA-WHLFO</v>
          </cell>
          <cell r="D892">
            <v>6.9844783444354404</v>
          </cell>
          <cell r="E892">
            <v>5.5418368831692071</v>
          </cell>
          <cell r="F892">
            <v>4.4557078631136156</v>
          </cell>
          <cell r="G892">
            <v>1.8642485287373329</v>
          </cell>
          <cell r="H892">
            <v>0.41656280808695412</v>
          </cell>
          <cell r="I892">
            <v>1.2986891585222829E-2</v>
          </cell>
        </row>
        <row r="893">
          <cell r="A893" t="str">
            <v>RHSA-WHLFOBR</v>
          </cell>
          <cell r="B893" t="str">
            <v>VAR_fin</v>
          </cell>
          <cell r="C893" t="str">
            <v>RLFO</v>
          </cell>
          <cell r="D893">
            <v>9.860440015673575</v>
          </cell>
          <cell r="E893">
            <v>7.7553402446682771</v>
          </cell>
          <cell r="F893">
            <v>8.8670993189887248</v>
          </cell>
          <cell r="G893">
            <v>3.4533895241443457</v>
          </cell>
          <cell r="H893">
            <v>0.74526472177847014</v>
          </cell>
          <cell r="I893">
            <v>2.2018348046377516E-2</v>
          </cell>
        </row>
        <row r="894">
          <cell r="A894" t="str">
            <v>RHSA-WHLFOBR</v>
          </cell>
          <cell r="B894" t="str">
            <v>VAR_ncap</v>
          </cell>
          <cell r="C894" t="str">
            <v>-</v>
          </cell>
          <cell r="E894">
            <v>6.6790086082121405E-7</v>
          </cell>
          <cell r="F894">
            <v>3.1698807093116801E-7</v>
          </cell>
          <cell r="G894">
            <v>6.0578008025947397E-7</v>
          </cell>
          <cell r="H894">
            <v>7.0488634470573502E-3</v>
          </cell>
        </row>
        <row r="895">
          <cell r="A895" t="str">
            <v>RHSA-WHLFOBR</v>
          </cell>
          <cell r="B895" t="str">
            <v>VAR_cap</v>
          </cell>
          <cell r="C895" t="str">
            <v>-</v>
          </cell>
          <cell r="D895">
            <v>0.47738433216181703</v>
          </cell>
          <cell r="E895">
            <v>0.47737734818342864</v>
          </cell>
          <cell r="F895">
            <v>0.32937772992580677</v>
          </cell>
          <cell r="G895">
            <v>0.23907091828844004</v>
          </cell>
          <cell r="H895">
            <v>2.8506293473839532E-2</v>
          </cell>
          <cell r="I895">
            <v>1.2919760781776989E-3</v>
          </cell>
        </row>
        <row r="896">
          <cell r="A896" t="str">
            <v>D-IWST</v>
          </cell>
          <cell r="B896" t="str">
            <v>VAR_fout</v>
          </cell>
          <cell r="C896" t="str">
            <v>CO2</v>
          </cell>
          <cell r="D896">
            <v>1068.1363853973701</v>
          </cell>
          <cell r="E896">
            <v>1094.4836027838201</v>
          </cell>
          <cell r="F896">
            <v>1024.6425765415399</v>
          </cell>
          <cell r="G896">
            <v>1013.19809752045</v>
          </cell>
          <cell r="H896">
            <v>1006.6665644605</v>
          </cell>
          <cell r="I896">
            <v>996.45168604134301</v>
          </cell>
        </row>
        <row r="897">
          <cell r="A897" t="str">
            <v>D-IWST</v>
          </cell>
          <cell r="B897" t="str">
            <v>VAR_fout</v>
          </cell>
          <cell r="C897" t="str">
            <v>IWST</v>
          </cell>
          <cell r="D897">
            <v>11.510090359885394</v>
          </cell>
          <cell r="E897">
            <v>11.794004340342832</v>
          </cell>
          <cell r="F897">
            <v>11.041407074801064</v>
          </cell>
          <cell r="G897">
            <v>10.918082947418599</v>
          </cell>
          <cell r="H897">
            <v>10.847700048065672</v>
          </cell>
          <cell r="I897">
            <v>10.737625927169649</v>
          </cell>
        </row>
        <row r="898">
          <cell r="A898" t="str">
            <v>D-IWST</v>
          </cell>
          <cell r="B898" t="str">
            <v>VAR_fin</v>
          </cell>
          <cell r="C898" t="str">
            <v>WSTNREN</v>
          </cell>
          <cell r="D898">
            <v>11.510090359885394</v>
          </cell>
          <cell r="E898">
            <v>11.794004340342832</v>
          </cell>
          <cell r="F898">
            <v>11.041407074801064</v>
          </cell>
          <cell r="G898">
            <v>10.918082947418599</v>
          </cell>
          <cell r="H898">
            <v>10.847700048065672</v>
          </cell>
          <cell r="I898">
            <v>10.737625927169649</v>
          </cell>
        </row>
        <row r="899">
          <cell r="A899" t="str">
            <v>RHES-SHLFOBR</v>
          </cell>
          <cell r="B899" t="str">
            <v>VAR_fout</v>
          </cell>
          <cell r="C899" t="str">
            <v>CO2_R</v>
          </cell>
          <cell r="D899">
            <v>1783.66562942888</v>
          </cell>
          <cell r="E899">
            <v>1640.9703445852799</v>
          </cell>
          <cell r="F899">
            <v>1214.53754586327</v>
          </cell>
          <cell r="G899">
            <v>516.34101074430203</v>
          </cell>
          <cell r="H899">
            <v>58.637881487849</v>
          </cell>
          <cell r="I899">
            <v>3.36474422322275</v>
          </cell>
        </row>
        <row r="900">
          <cell r="A900" t="str">
            <v>RHES-SHLFOBR</v>
          </cell>
          <cell r="B900" t="str">
            <v>VAR_fout</v>
          </cell>
          <cell r="C900" t="str">
            <v>RHES-SHLFO</v>
          </cell>
          <cell r="D900">
            <v>21.680693709136737</v>
          </cell>
          <cell r="E900">
            <v>19.946213482916988</v>
          </cell>
          <cell r="F900">
            <v>14.003563442128399</v>
          </cell>
          <cell r="G900">
            <v>6.0648617907516718</v>
          </cell>
          <cell r="H900">
            <v>0.68625758282106564</v>
          </cell>
          <cell r="I900">
            <v>3.9273369801003599E-2</v>
          </cell>
        </row>
        <row r="901">
          <cell r="A901" t="str">
            <v>RHES-SHLFOBR</v>
          </cell>
          <cell r="B901" t="str">
            <v>VAR_fin</v>
          </cell>
          <cell r="C901" t="str">
            <v>RLFO</v>
          </cell>
          <cell r="D901">
            <v>24.201704605547963</v>
          </cell>
          <cell r="E901">
            <v>22.265540632093327</v>
          </cell>
          <cell r="F901">
            <v>16.479478234237057</v>
          </cell>
          <cell r="G901">
            <v>7.0059838635590443</v>
          </cell>
          <cell r="H901">
            <v>0.79562932819333831</v>
          </cell>
          <cell r="I901">
            <v>4.5654602757432168E-2</v>
          </cell>
        </row>
        <row r="902">
          <cell r="A902" t="str">
            <v>RHES-SHLFOBR</v>
          </cell>
          <cell r="B902" t="str">
            <v>VAR_ncap</v>
          </cell>
          <cell r="C902" t="str">
            <v>-</v>
          </cell>
          <cell r="E902">
            <v>3.0096586409304001E-7</v>
          </cell>
          <cell r="F902">
            <v>2.2535368307090699E-7</v>
          </cell>
          <cell r="G902">
            <v>3.8689688558643101E-7</v>
          </cell>
          <cell r="H902">
            <v>5.5431495569923002E-2</v>
          </cell>
          <cell r="I902">
            <v>1.8213818516125199E-7</v>
          </cell>
        </row>
        <row r="903">
          <cell r="A903" t="str">
            <v>RHES-SHLFOBR</v>
          </cell>
          <cell r="B903" t="str">
            <v>VAR_cap</v>
          </cell>
          <cell r="C903" t="str">
            <v>-</v>
          </cell>
          <cell r="D903">
            <v>1.7515307393373001</v>
          </cell>
          <cell r="E903">
            <v>1.7513559497931426</v>
          </cell>
          <cell r="F903">
            <v>1.1370609723025031</v>
          </cell>
          <cell r="G903">
            <v>1.0336792786453048</v>
          </cell>
          <cell r="H903">
            <v>5.5473036303993965E-2</v>
          </cell>
          <cell r="I903">
            <v>5.3882760015109971E-3</v>
          </cell>
        </row>
        <row r="904">
          <cell r="A904" t="str">
            <v>ITOT-SWHSTG</v>
          </cell>
          <cell r="B904" t="str">
            <v>VAR_fout</v>
          </cell>
          <cell r="C904" t="str">
            <v>ITOT-SWH</v>
          </cell>
          <cell r="D904">
            <v>3.1262915635385356E-5</v>
          </cell>
          <cell r="E904">
            <v>8.9366633320474829E-4</v>
          </cell>
          <cell r="F904">
            <v>7.224167458063516E-3</v>
          </cell>
          <cell r="G904">
            <v>5.0605443039167892E-4</v>
          </cell>
          <cell r="H904">
            <v>1.2925824130586309E-3</v>
          </cell>
          <cell r="I904">
            <v>1.3974948992074119</v>
          </cell>
        </row>
        <row r="905">
          <cell r="A905" t="str">
            <v>ITOT-SWHSTG</v>
          </cell>
          <cell r="B905" t="str">
            <v>VAR_fout</v>
          </cell>
          <cell r="C905" t="str">
            <v>AUX_ITOT-STG_OUT</v>
          </cell>
          <cell r="D905">
            <v>3.1262915635385295E-5</v>
          </cell>
          <cell r="E905">
            <v>8.9293647452825023E-4</v>
          </cell>
          <cell r="F905">
            <v>7.2149529587547641E-3</v>
          </cell>
          <cell r="G905">
            <v>5.0605443039167968E-4</v>
          </cell>
          <cell r="H905">
            <v>1.292582413058632E-3</v>
          </cell>
          <cell r="I905">
            <v>1.3974948992074119</v>
          </cell>
        </row>
        <row r="906">
          <cell r="A906" t="str">
            <v>ITOT-SWHSTG</v>
          </cell>
          <cell r="B906" t="str">
            <v>VAR_fin</v>
          </cell>
          <cell r="C906" t="str">
            <v>AUX_ITOT-STG_IN</v>
          </cell>
          <cell r="D906">
            <v>3.8596039725803099E-5</v>
          </cell>
          <cell r="E906">
            <v>1.0872109753666149E-3</v>
          </cell>
          <cell r="F906">
            <v>8.6001993743424123E-3</v>
          </cell>
          <cell r="G906">
            <v>5.8167176627837807E-4</v>
          </cell>
          <cell r="H906">
            <v>1.389873908856595E-3</v>
          </cell>
          <cell r="I906">
            <v>1.4116109998731752</v>
          </cell>
        </row>
        <row r="907">
          <cell r="A907" t="str">
            <v>ITOT-SWHSTG</v>
          </cell>
          <cell r="B907" t="str">
            <v>VAR_fin</v>
          </cell>
          <cell r="C907" t="str">
            <v>ITOT-SWH</v>
          </cell>
          <cell r="D907">
            <v>3.8596039725803099E-5</v>
          </cell>
          <cell r="E907">
            <v>1.0872109753666149E-3</v>
          </cell>
          <cell r="F907">
            <v>8.6001993743424123E-3</v>
          </cell>
          <cell r="G907">
            <v>5.8167176627837807E-4</v>
          </cell>
          <cell r="H907">
            <v>1.389873908856595E-3</v>
          </cell>
          <cell r="I907">
            <v>1.4116109998731752</v>
          </cell>
        </row>
        <row r="908">
          <cell r="A908" t="str">
            <v>ITOT-SWHSTG</v>
          </cell>
          <cell r="B908" t="str">
            <v>VAR_ncap</v>
          </cell>
          <cell r="C908" t="str">
            <v>-</v>
          </cell>
          <cell r="D908">
            <v>2.0472383934421901E-3</v>
          </cell>
          <cell r="E908">
            <v>1.16416650737768E-5</v>
          </cell>
          <cell r="F908">
            <v>1.2795533559092299E-5</v>
          </cell>
          <cell r="G908">
            <v>8.1505318619458203E-6</v>
          </cell>
          <cell r="H908">
            <v>1.3050665198283899E-4</v>
          </cell>
          <cell r="I908">
            <v>0.35687406572737501</v>
          </cell>
        </row>
        <row r="909">
          <cell r="A909" t="str">
            <v>ITOT-SWHSTG</v>
          </cell>
          <cell r="B909" t="str">
            <v>VAR_cap</v>
          </cell>
          <cell r="C909" t="str">
            <v>-</v>
          </cell>
          <cell r="D909">
            <v>2.0472383934421901E-3</v>
          </cell>
          <cell r="E909">
            <v>2.056757305591093E-3</v>
          </cell>
          <cell r="F909">
            <v>2.0663978708531008E-3</v>
          </cell>
          <cell r="G909">
            <v>2.0640218541620823E-3</v>
          </cell>
          <cell r="H909">
            <v>2.7508530865167765E-3</v>
          </cell>
          <cell r="I909">
            <v>0.35806547039868991</v>
          </cell>
        </row>
        <row r="910">
          <cell r="A910" t="str">
            <v>SCOM-SHLFOBR</v>
          </cell>
          <cell r="B910" t="str">
            <v>VAR_fout</v>
          </cell>
          <cell r="C910" t="str">
            <v>CO2_S</v>
          </cell>
          <cell r="D910">
            <v>2229.9144051685498</v>
          </cell>
          <cell r="E910">
            <v>1725.43334599272</v>
          </cell>
          <cell r="F910">
            <v>1857.30552839038</v>
          </cell>
          <cell r="G910">
            <v>929.16861449087401</v>
          </cell>
          <cell r="H910">
            <v>183.213207106911</v>
          </cell>
          <cell r="I910">
            <v>5.1443823387632897</v>
          </cell>
        </row>
        <row r="911">
          <cell r="A911" t="str">
            <v>SCOM-SHLFOBR</v>
          </cell>
          <cell r="B911" t="str">
            <v>VAR_fout</v>
          </cell>
          <cell r="C911" t="str">
            <v>SCOM-SHLFO</v>
          </cell>
          <cell r="D911">
            <v>24.843074923892026</v>
          </cell>
          <cell r="E911">
            <v>19.260807104364545</v>
          </cell>
          <cell r="F911">
            <v>19.866533182813896</v>
          </cell>
          <cell r="G911">
            <v>10.315030513938718</v>
          </cell>
          <cell r="H911">
            <v>2.0339148270735352</v>
          </cell>
          <cell r="I911">
            <v>5.729522211378598E-2</v>
          </cell>
        </row>
        <row r="912">
          <cell r="A912" t="str">
            <v>SCOM-SHLFOBR</v>
          </cell>
          <cell r="B912" t="str">
            <v>VAR_fin</v>
          </cell>
          <cell r="C912" t="str">
            <v>SLFO</v>
          </cell>
          <cell r="D912">
            <v>30.256640504322231</v>
          </cell>
          <cell r="E912">
            <v>23.411578643049197</v>
          </cell>
          <cell r="F912">
            <v>25.200889123343046</v>
          </cell>
          <cell r="G912">
            <v>12.607443887257443</v>
          </cell>
          <cell r="H912">
            <v>2.4859322538251218</v>
          </cell>
          <cell r="I912">
            <v>6.980165995608259E-2</v>
          </cell>
        </row>
        <row r="913">
          <cell r="A913" t="str">
            <v>SCOM-SHLFOBR</v>
          </cell>
          <cell r="B913" t="str">
            <v>VAR_ncap</v>
          </cell>
          <cell r="C913" t="str">
            <v>-</v>
          </cell>
          <cell r="D913">
            <v>3.0928019112314002E-6</v>
          </cell>
          <cell r="E913">
            <v>1.91275998209532E-6</v>
          </cell>
          <cell r="F913">
            <v>1.3924179508278501E-6</v>
          </cell>
          <cell r="G913">
            <v>2.1871621991216202E-6</v>
          </cell>
          <cell r="H913">
            <v>8.7423190063913494E-6</v>
          </cell>
          <cell r="I913">
            <v>6.0689463480070298E-7</v>
          </cell>
        </row>
        <row r="914">
          <cell r="A914" t="str">
            <v>SCOM-SHLFOBR</v>
          </cell>
          <cell r="B914" t="str">
            <v>VAR_cap</v>
          </cell>
          <cell r="C914" t="str">
            <v>-</v>
          </cell>
          <cell r="D914">
            <v>1.9285767500270312</v>
          </cell>
          <cell r="E914">
            <v>1.6678751480138054</v>
          </cell>
          <cell r="F914">
            <v>1.5501020396941232</v>
          </cell>
          <cell r="G914">
            <v>1.5497981440406332</v>
          </cell>
          <cell r="H914">
            <v>0.15825946275652417</v>
          </cell>
          <cell r="I914">
            <v>8.3122672064524991E-3</v>
          </cell>
        </row>
        <row r="915">
          <cell r="A915" t="str">
            <v>RHNM-SHPLTBR</v>
          </cell>
          <cell r="B915" t="str">
            <v>VAR_fout</v>
          </cell>
          <cell r="C915" t="str">
            <v>RHNM-SHPLT</v>
          </cell>
          <cell r="E915">
            <v>7.3550011029425294E-2</v>
          </cell>
        </row>
        <row r="916">
          <cell r="A916" t="str">
            <v>RHNM-SHPLTBR</v>
          </cell>
          <cell r="B916" t="str">
            <v>VAR_fin</v>
          </cell>
          <cell r="C916" t="str">
            <v>RPLT</v>
          </cell>
          <cell r="E916">
            <v>8.1722234477139125E-2</v>
          </cell>
        </row>
        <row r="917">
          <cell r="A917" t="str">
            <v>RHNM-SHPLTBR</v>
          </cell>
          <cell r="B917" t="str">
            <v>VAR_fin</v>
          </cell>
          <cell r="C917" t="str">
            <v>RHNMPLTBRC</v>
          </cell>
          <cell r="E917">
            <v>7.3550011029425294E-2</v>
          </cell>
        </row>
        <row r="918">
          <cell r="A918" t="str">
            <v>RHNM-SHPLTBR</v>
          </cell>
          <cell r="B918" t="str">
            <v>VAR_ncap</v>
          </cell>
          <cell r="C918" t="str">
            <v>-</v>
          </cell>
          <cell r="E918">
            <v>5.7900095545011599E-3</v>
          </cell>
          <cell r="F918">
            <v>4.51276611322553E-7</v>
          </cell>
          <cell r="G918">
            <v>5.6395732845646703E-7</v>
          </cell>
          <cell r="H918">
            <v>3.9572127761079601E-7</v>
          </cell>
          <cell r="I918">
            <v>3.3843636486035402E-7</v>
          </cell>
        </row>
        <row r="919">
          <cell r="A919" t="str">
            <v>RHNM-SHPLTBR</v>
          </cell>
          <cell r="B919" t="str">
            <v>VAR_cap</v>
          </cell>
          <cell r="C919" t="str">
            <v>-</v>
          </cell>
          <cell r="E919">
            <v>5.7900095545011599E-3</v>
          </cell>
          <cell r="F919">
            <v>3.7723070483280594E-5</v>
          </cell>
          <cell r="G919">
            <v>1.7186846582129683E-5</v>
          </cell>
          <cell r="H919">
            <v>-1.5285617756725901E-6</v>
          </cell>
          <cell r="I919">
            <v>-1.6312621582063278E-6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RHES_ELC</v>
          </cell>
          <cell r="D920">
            <v>8.6069536038575686E-3</v>
          </cell>
          <cell r="E920">
            <v>6.5690441686518748E-4</v>
          </cell>
          <cell r="F920">
            <v>1.9518638730388895E-3</v>
          </cell>
          <cell r="G920">
            <v>2.7957649894867439E-3</v>
          </cell>
          <cell r="H920">
            <v>1.5785383462762004E-3</v>
          </cell>
          <cell r="I920">
            <v>1.0774212824159205E-4</v>
          </cell>
        </row>
        <row r="921">
          <cell r="A921" t="str">
            <v>D-RHES_NKEV_GAS_ELC_CHP</v>
          </cell>
          <cell r="B921" t="str">
            <v>VAR_fout</v>
          </cell>
          <cell r="C921" t="str">
            <v>ELC5</v>
          </cell>
          <cell r="D921">
            <v>8.5443722102980547E-3</v>
          </cell>
          <cell r="E921">
            <v>6.5698193231211136E-4</v>
          </cell>
          <cell r="F921">
            <v>1.9561851074782408E-3</v>
          </cell>
          <cell r="G921">
            <v>2.799086806101548E-3</v>
          </cell>
          <cell r="H921">
            <v>1.5823600718094892E-3</v>
          </cell>
          <cell r="I921">
            <v>1.0791527284811538E-4</v>
          </cell>
        </row>
        <row r="922">
          <cell r="A922" t="str">
            <v>D-RHES_NKEV_GAS_ELC_CHP</v>
          </cell>
          <cell r="B922" t="str">
            <v>VAR_fin</v>
          </cell>
          <cell r="C922" t="str">
            <v>RHES_NKEV_GAS_ELC_CHP</v>
          </cell>
          <cell r="D922">
            <v>1.715132581415562E-2</v>
          </cell>
          <cell r="E922">
            <v>1.3138863491772995E-3</v>
          </cell>
          <cell r="F922">
            <v>3.8837300256746054E-3</v>
          </cell>
          <cell r="G922">
            <v>5.5948517955882911E-3</v>
          </cell>
          <cell r="H922">
            <v>3.1608984180856894E-3</v>
          </cell>
          <cell r="I922">
            <v>2.1565740108970766E-4</v>
          </cell>
        </row>
        <row r="923">
          <cell r="A923" t="str">
            <v>SCOM-SHSTG-SOL</v>
          </cell>
          <cell r="B923" t="str">
            <v>VAR_fout</v>
          </cell>
          <cell r="C923" t="str">
            <v>SCOM-SHASOL</v>
          </cell>
          <cell r="D923">
            <v>1.4264740659118258E-4</v>
          </cell>
          <cell r="E923">
            <v>1.5092649888907598E-4</v>
          </cell>
          <cell r="F923">
            <v>1.036885727049998E-4</v>
          </cell>
          <cell r="G923">
            <v>8.3914752356584757E-5</v>
          </cell>
          <cell r="H923">
            <v>9.1529532730169207E-5</v>
          </cell>
          <cell r="I923">
            <v>4.7345471275490009E-5</v>
          </cell>
        </row>
        <row r="924">
          <cell r="A924" t="str">
            <v>SCOM-SHSTG-SOL</v>
          </cell>
          <cell r="B924" t="str">
            <v>VAR_fin</v>
          </cell>
          <cell r="C924" t="str">
            <v>SCOM-SHASOL</v>
          </cell>
          <cell r="D924">
            <v>1.309647459369214E-4</v>
          </cell>
          <cell r="E924">
            <v>1.433641927284198E-4</v>
          </cell>
          <cell r="F924">
            <v>7.9982719923032844E-5</v>
          </cell>
          <cell r="G924">
            <v>6.225926237614837E-5</v>
          </cell>
          <cell r="H924">
            <v>7.9619321529906362E-5</v>
          </cell>
          <cell r="I924">
            <v>2.0883972410199532E-5</v>
          </cell>
        </row>
        <row r="925">
          <cell r="A925" t="str">
            <v>SCOM-SHSTG-SOL</v>
          </cell>
          <cell r="B925" t="str">
            <v>VAR_ncap</v>
          </cell>
          <cell r="C925" t="str">
            <v>-</v>
          </cell>
          <cell r="D925">
            <v>1.89745371833706E-2</v>
          </cell>
          <cell r="E925">
            <v>4.5293803529319896E-3</v>
          </cell>
          <cell r="F925">
            <v>2.2743343174623498E-6</v>
          </cell>
          <cell r="G925">
            <v>4.7274809983490901E-3</v>
          </cell>
          <cell r="H925">
            <v>1.5274570466922601E-2</v>
          </cell>
          <cell r="I925">
            <v>3.0962919217335402E-2</v>
          </cell>
        </row>
        <row r="926">
          <cell r="A926" t="str">
            <v>SCOM-SHSTG-SOL</v>
          </cell>
          <cell r="B926" t="str">
            <v>VAR_cap</v>
          </cell>
          <cell r="C926" t="str">
            <v>-</v>
          </cell>
          <cell r="D926">
            <v>1.89745371833706E-2</v>
          </cell>
          <cell r="E926">
            <v>2.3503917536302599E-2</v>
          </cell>
          <cell r="F926">
            <v>2.3506191870619999E-2</v>
          </cell>
          <cell r="G926">
            <v>2.8233672868969099E-2</v>
          </cell>
          <cell r="H926">
            <v>3.97031316076479E-2</v>
          </cell>
          <cell r="I926">
            <v>5.1015400212631901E-2</v>
          </cell>
        </row>
        <row r="927">
          <cell r="A927" t="str">
            <v>RHNM-SHELCBRA</v>
          </cell>
          <cell r="B927" t="str">
            <v>VAR_fout</v>
          </cell>
          <cell r="C927" t="str">
            <v>RHNM-SHELCB</v>
          </cell>
          <cell r="E927">
            <v>0.15440143491820349</v>
          </cell>
          <cell r="F927">
            <v>1.3317293762907425E-3</v>
          </cell>
          <cell r="G927">
            <v>1.7379533188855204E-3</v>
          </cell>
          <cell r="H927">
            <v>1.6057822182132847E-3</v>
          </cell>
          <cell r="I927">
            <v>9.8138637305413283E-4</v>
          </cell>
        </row>
        <row r="928">
          <cell r="A928" t="str">
            <v>RHNM-SHELCBRA</v>
          </cell>
          <cell r="B928" t="str">
            <v>VAR_fin</v>
          </cell>
          <cell r="C928" t="str">
            <v>RHNM-SHAELCB</v>
          </cell>
          <cell r="E928">
            <v>0.15440143491820349</v>
          </cell>
          <cell r="F928">
            <v>1.3317293762907425E-3</v>
          </cell>
          <cell r="G928">
            <v>1.7379533188855204E-3</v>
          </cell>
          <cell r="H928">
            <v>1.6057822182132847E-3</v>
          </cell>
          <cell r="I928">
            <v>9.8138637305413283E-4</v>
          </cell>
        </row>
        <row r="929">
          <cell r="A929" t="str">
            <v>RHNM-SHELCBRA</v>
          </cell>
          <cell r="B929" t="str">
            <v>VAR_ncap</v>
          </cell>
          <cell r="C929" t="str">
            <v>-</v>
          </cell>
          <cell r="E929">
            <v>1.23966656946977E-2</v>
          </cell>
        </row>
        <row r="930">
          <cell r="A930" t="str">
            <v>RHNM-SHELCBRA</v>
          </cell>
          <cell r="B930" t="str">
            <v>VAR_cap</v>
          </cell>
          <cell r="C930" t="str">
            <v>-</v>
          </cell>
          <cell r="E930">
            <v>1.23966656946977E-2</v>
          </cell>
          <cell r="F930">
            <v>1.2336978766351208E-2</v>
          </cell>
          <cell r="G930">
            <v>1.213186332276108E-2</v>
          </cell>
          <cell r="H930">
            <v>1.6168551132252119E-3</v>
          </cell>
          <cell r="I930">
            <v>6.8233129002235552E-4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7.2572871016244193E-5</v>
          </cell>
          <cell r="F931">
            <v>3.8630228148175768E-5</v>
          </cell>
          <cell r="G931">
            <v>1.2585868669296631E-4</v>
          </cell>
          <cell r="H931">
            <v>1.603257578037015E-4</v>
          </cell>
          <cell r="I931">
            <v>1.655860759053684E-4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3.652185050786826E-6</v>
          </cell>
          <cell r="F932">
            <v>1.8866007109919955E-5</v>
          </cell>
          <cell r="G932">
            <v>1.0077258672526104E-4</v>
          </cell>
          <cell r="H932">
            <v>1.6547285382217356E-4</v>
          </cell>
          <cell r="I932">
            <v>1.7958300661540064E-4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3.6033943435972001E-4</v>
          </cell>
          <cell r="E933">
            <v>8.8701241807135194E-6</v>
          </cell>
          <cell r="F933">
            <v>2.4954350790456402E-4</v>
          </cell>
          <cell r="G933">
            <v>1.3629155507449101E-5</v>
          </cell>
          <cell r="H933">
            <v>4.7128865783984402E-5</v>
          </cell>
          <cell r="I933">
            <v>4.2437158911828697E-5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3.6033943435972001E-4</v>
          </cell>
          <cell r="E934">
            <v>3.6920955854043299E-4</v>
          </cell>
          <cell r="F934">
            <v>6.1875306644499696E-4</v>
          </cell>
          <cell r="G934">
            <v>6.3238222195244602E-4</v>
          </cell>
          <cell r="H934">
            <v>1.0286083297163201E-4</v>
          </cell>
          <cell r="I934">
            <v>7.7580818395343897E-5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0.14026474178996551</v>
          </cell>
          <cell r="F935">
            <v>1.1146264823928662</v>
          </cell>
          <cell r="G935">
            <v>1.7405315914788033</v>
          </cell>
          <cell r="H935">
            <v>2.393560411541765</v>
          </cell>
          <cell r="I935">
            <v>2.8754465413949459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4.3114162435440244E-2</v>
          </cell>
          <cell r="F936">
            <v>0.32961788699082206</v>
          </cell>
          <cell r="G936">
            <v>0.48609315483945043</v>
          </cell>
          <cell r="H936">
            <v>0.6191838460579665</v>
          </cell>
          <cell r="I936">
            <v>0.67419937787613837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0.14026474178996551</v>
          </cell>
          <cell r="F937">
            <v>1.1146264823928662</v>
          </cell>
          <cell r="G937">
            <v>1.7405315914788033</v>
          </cell>
          <cell r="H937">
            <v>2.393560411541765</v>
          </cell>
          <cell r="I937">
            <v>2.8754465413949459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1.03139169883443E-2</v>
          </cell>
          <cell r="F938">
            <v>7.1100845337706803E-2</v>
          </cell>
          <cell r="G938">
            <v>4.6129037467848397E-2</v>
          </cell>
          <cell r="H938">
            <v>9.4724706238862796E-2</v>
          </cell>
          <cell r="I938">
            <v>0.12570707107422699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1.03139169883443E-2</v>
          </cell>
          <cell r="F939">
            <v>8.1414380219896221E-2</v>
          </cell>
          <cell r="G939">
            <v>0.1275423006629392</v>
          </cell>
          <cell r="H939">
            <v>0.17444069232893736</v>
          </cell>
          <cell r="I939">
            <v>0.20951774979779283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1.2230805725847629</v>
          </cell>
          <cell r="E940">
            <v>1.3407840817290759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1.4022937085356122</v>
          </cell>
          <cell r="E941">
            <v>1.5372438451376709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1.5787155734101E-6</v>
          </cell>
          <cell r="E942">
            <v>1.2471570280713201E-5</v>
          </cell>
          <cell r="F942">
            <v>1.4472367799328101E-6</v>
          </cell>
          <cell r="G942">
            <v>1.7565364846721899E-6</v>
          </cell>
          <cell r="H942">
            <v>1.2249348938118301E-4</v>
          </cell>
          <cell r="I942">
            <v>5.73782925395898E-5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0.10534250418424941</v>
          </cell>
          <cell r="E943">
            <v>0.10535045117079887</v>
          </cell>
          <cell r="F943">
            <v>0.10526873717696349</v>
          </cell>
          <cell r="G943">
            <v>0.10524986611903342</v>
          </cell>
          <cell r="H943">
            <v>2.1909022079256673E-4</v>
          </cell>
          <cell r="I943">
            <v>1.8589356872581836E-4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56.590867471062744</v>
          </cell>
          <cell r="G944">
            <v>54.316232042992134</v>
          </cell>
          <cell r="H944">
            <v>50.491466817021639</v>
          </cell>
          <cell r="I944">
            <v>48.1450511181216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1.2928744670101306</v>
          </cell>
          <cell r="E945">
            <v>1.4868721916311203</v>
          </cell>
          <cell r="F945">
            <v>2.5316264974510304E-2</v>
          </cell>
          <cell r="G945">
            <v>2.162488857850094E-2</v>
          </cell>
          <cell r="H945">
            <v>1.2911564084556959E-2</v>
          </cell>
          <cell r="I945">
            <v>6.9144169856625729E-3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3.5194601081032256E-2</v>
          </cell>
          <cell r="E946">
            <v>3.0452478737600986E-3</v>
          </cell>
          <cell r="F946">
            <v>2.5212378856317068E-6</v>
          </cell>
          <cell r="G946">
            <v>2.1055339701315165E-6</v>
          </cell>
          <cell r="H946">
            <v>8.2540937457339131E-7</v>
          </cell>
          <cell r="I946">
            <v>3.5802014184378342E-6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0.3763203765721721</v>
          </cell>
          <cell r="E947">
            <v>0.43551457136822175</v>
          </cell>
          <cell r="F947">
            <v>2.471819396080786E-2</v>
          </cell>
          <cell r="G947">
            <v>3.0793887512759539E-2</v>
          </cell>
          <cell r="H947">
            <v>3.2824484597512679E-2</v>
          </cell>
          <cell r="I947">
            <v>3.1620945647567837E-2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1.0892189070901474E-3</v>
          </cell>
          <cell r="F948">
            <v>2.3126486782675297E-6</v>
          </cell>
          <cell r="G948">
            <v>1.7928355075893229E-6</v>
          </cell>
          <cell r="H948">
            <v>3.2586164024434052E-7</v>
          </cell>
          <cell r="I948">
            <v>3.47757992900761E-8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17.565494565909514</v>
          </cell>
          <cell r="E949">
            <v>17.60034616547081</v>
          </cell>
          <cell r="F949">
            <v>10.408408330253085</v>
          </cell>
          <cell r="G949">
            <v>6.6889262101312674</v>
          </cell>
          <cell r="H949">
            <v>1.5952808317737808</v>
          </cell>
          <cell r="I949">
            <v>0.70769474608668004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1.0438073268449507E-3</v>
          </cell>
          <cell r="F950">
            <v>1.6276323876994334</v>
          </cell>
          <cell r="G950">
            <v>1.5931550521213069</v>
          </cell>
          <cell r="H950">
            <v>1.3534672833496233</v>
          </cell>
          <cell r="I950">
            <v>0.96659744441489071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7.4620914864406626E-2</v>
          </cell>
          <cell r="E951">
            <v>7.2004349521266664E-2</v>
          </cell>
          <cell r="F951">
            <v>2.1092186429832176E-2</v>
          </cell>
          <cell r="G951">
            <v>1.4392625628368354E-6</v>
          </cell>
          <cell r="H951">
            <v>1.1836786726205845E-6</v>
          </cell>
          <cell r="I951">
            <v>1.1504820280304174E-6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21.673769398033865</v>
          </cell>
          <cell r="E952">
            <v>19.946181504398208</v>
          </cell>
          <cell r="F952">
            <v>14.003595106623331</v>
          </cell>
          <cell r="G952">
            <v>6.0648936959679016</v>
          </cell>
          <cell r="H952">
            <v>0.68628951862859178</v>
          </cell>
          <cell r="I952">
            <v>3.9306620384565005E-2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5.45113428231346E-2</v>
          </cell>
          <cell r="E953">
            <v>4.9708024285274206</v>
          </cell>
          <cell r="F953">
            <v>2.2708257402595815</v>
          </cell>
          <cell r="G953">
            <v>5.2528414907644914</v>
          </cell>
          <cell r="H953">
            <v>9.8105202018801876</v>
          </cell>
          <cell r="I953">
            <v>14.606179903289043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4.3829749383503636</v>
          </cell>
          <cell r="E954">
            <v>5.034221870184294</v>
          </cell>
          <cell r="F954">
            <v>5.2445856131311031</v>
          </cell>
          <cell r="G954">
            <v>3.9987676504636016</v>
          </cell>
          <cell r="H954">
            <v>2.1708164282754794</v>
          </cell>
          <cell r="I954">
            <v>0.96656346398453996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3.1392783427561497</v>
          </cell>
          <cell r="E955">
            <v>3.5037793008589655</v>
          </cell>
          <cell r="F955">
            <v>1.440491449662552</v>
          </cell>
          <cell r="G955">
            <v>2.9279051825413096</v>
          </cell>
          <cell r="H955">
            <v>2.9104848346399863</v>
          </cell>
          <cell r="I955">
            <v>2.3857543288821241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4.2758161618188373</v>
          </cell>
          <cell r="E956">
            <v>4.4886024835158231</v>
          </cell>
          <cell r="F956">
            <v>0.78831743030829216</v>
          </cell>
          <cell r="G956">
            <v>0.13065217167159723</v>
          </cell>
          <cell r="H956">
            <v>1.5942289754210864E-3</v>
          </cell>
          <cell r="I956">
            <v>4.1542818009985698E-4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9.1531312094539139</v>
          </cell>
          <cell r="E957">
            <v>10.275892568022639</v>
          </cell>
          <cell r="F957">
            <v>20.738030996587558</v>
          </cell>
          <cell r="G957">
            <v>27.608125652959046</v>
          </cell>
          <cell r="H957">
            <v>31.91867294420609</v>
          </cell>
          <cell r="I957">
            <v>28.435185020246003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1.4923322727787003E-3</v>
          </cell>
          <cell r="E958">
            <v>7.8959292182427803E-5</v>
          </cell>
          <cell r="F958">
            <v>3.1620994322223726E-6</v>
          </cell>
          <cell r="G958">
            <v>2.2153842485330612E-6</v>
          </cell>
          <cell r="H958">
            <v>3.6084334979792399E-6</v>
          </cell>
          <cell r="I958">
            <v>5.2926642302529305E-8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9.1186974150494918E-4</v>
          </cell>
          <cell r="E959">
            <v>2.4350805778094549E-5</v>
          </cell>
          <cell r="F959">
            <v>4.8748493147515743E-3</v>
          </cell>
          <cell r="G959">
            <v>0.89721424370629521</v>
          </cell>
          <cell r="H959">
            <v>0.64775969011371926</v>
          </cell>
          <cell r="I959">
            <v>1.7505951216913201E-4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5.2879892226043522E-2</v>
          </cell>
          <cell r="E960">
            <v>8.465471142893407E-4</v>
          </cell>
          <cell r="F960">
            <v>4.6427749892497122E-3</v>
          </cell>
          <cell r="G960">
            <v>0.77787724648011114</v>
          </cell>
          <cell r="H960">
            <v>1.0327874004659545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F961">
            <v>2.1387698503065834E-6</v>
          </cell>
          <cell r="G961">
            <v>1.9642240229209048E-3</v>
          </cell>
          <cell r="H961">
            <v>3.8635288641818404E-3</v>
          </cell>
          <cell r="I961">
            <v>4.3535892404004096E-8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5.3791761967548458E-2</v>
          </cell>
          <cell r="E962">
            <v>8.7127135969474747E-4</v>
          </cell>
          <cell r="F962">
            <v>9.5208112172595928E-3</v>
          </cell>
          <cell r="G962">
            <v>1.6770557142093261</v>
          </cell>
          <cell r="H962">
            <v>1.6844106194438548</v>
          </cell>
          <cell r="I962">
            <v>1.7626304691608296E-4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4.8618492012087892E-2</v>
          </cell>
          <cell r="E963">
            <v>8.3594360171814353E-4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4.9109587890997855E-2</v>
          </cell>
          <cell r="E964">
            <v>8.4438747648297335E-4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4.8618492012087892E-2</v>
          </cell>
          <cell r="E965">
            <v>8.3594360171814353E-4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3.7081477461226498E-6</v>
          </cell>
          <cell r="E966">
            <v>5.5139651750745199E-5</v>
          </cell>
          <cell r="F966">
            <v>1.2200577059135801E-3</v>
          </cell>
          <cell r="G966">
            <v>5.4592694102812901E-2</v>
          </cell>
          <cell r="H966">
            <v>1.84365902213307E-2</v>
          </cell>
          <cell r="I966">
            <v>3.7981724939281803E-5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6.8019091462948522E-3</v>
          </cell>
          <cell r="E967">
            <v>9.7653357224807523E-5</v>
          </cell>
          <cell r="F967">
            <v>1.2910176015824004E-3</v>
          </cell>
          <cell r="G967">
            <v>5.5483961753250904E-2</v>
          </cell>
          <cell r="H967">
            <v>5.3936535005931298E-2</v>
          </cell>
          <cell r="I967">
            <v>1.0797732166090146E-4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1.5631673239053152</v>
          </cell>
          <cell r="E968">
            <v>1.5106917381505773</v>
          </cell>
          <cell r="F968">
            <v>1.7534858671784102</v>
          </cell>
          <cell r="G968">
            <v>1.8907384213425151</v>
          </cell>
          <cell r="H968">
            <v>0.73512738082819629</v>
          </cell>
          <cell r="I968">
            <v>4.3164416357034897E-3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0.57177176482934622</v>
          </cell>
          <cell r="E969">
            <v>1.8799808167884813</v>
          </cell>
          <cell r="F969">
            <v>2.2843997609556164</v>
          </cell>
          <cell r="G969">
            <v>2.4483695726845305</v>
          </cell>
          <cell r="H969">
            <v>0.81302152105703362</v>
          </cell>
          <cell r="I969">
            <v>4.4065872542484365E-3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3.3906652963377337</v>
          </cell>
          <cell r="F970">
            <v>4.0378856281340294</v>
          </cell>
          <cell r="G970">
            <v>4.3391079940270414</v>
          </cell>
          <cell r="H970">
            <v>1.5481489018852297</v>
          </cell>
          <cell r="I970">
            <v>8.7230288899519288E-3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3.27852967417819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7.983150424872008</v>
          </cell>
          <cell r="H972">
            <v>4.3690599867030073</v>
          </cell>
          <cell r="I972">
            <v>1.9630166241439611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4.2114529411703932E-7</v>
          </cell>
          <cell r="H973">
            <v>1.8857180304369185E-5</v>
          </cell>
          <cell r="I973">
            <v>1.3965333222528762E-5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4.2539928698690836E-7</v>
          </cell>
          <cell r="H974">
            <v>1.9047656873100217E-5</v>
          </cell>
          <cell r="I974">
            <v>1.4106397194473504E-5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8.9981235670404E-5</v>
          </cell>
          <cell r="H975">
            <v>2.93341051414384E-4</v>
          </cell>
          <cell r="I975">
            <v>1.35728689423725E-5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8.9981235670404E-5</v>
          </cell>
          <cell r="H976">
            <v>4.8080162049170499E-4</v>
          </cell>
          <cell r="I976">
            <v>4.9437448943407704E-4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1.845844331435927</v>
          </cell>
          <cell r="E977">
            <v>1.8458381636931414</v>
          </cell>
          <cell r="F977">
            <v>4.9488160520208147E-3</v>
          </cell>
          <cell r="G977">
            <v>1.0562263436053422E-4</v>
          </cell>
          <cell r="H977">
            <v>1.0670089246345823E-4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210.21262861241101</v>
          </cell>
          <cell r="E978">
            <v>209.30644076926899</v>
          </cell>
          <cell r="F978">
            <v>0.55756208286142095</v>
          </cell>
          <cell r="G978">
            <v>1.17740757810512E-2</v>
          </cell>
          <cell r="H978">
            <v>1.1647660775738099E-2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2.7300341378235147</v>
          </cell>
          <cell r="E979">
            <v>2.718265464535957</v>
          </cell>
          <cell r="F979">
            <v>7.2410660111872967E-3</v>
          </cell>
          <cell r="G979">
            <v>1.5291007507858736E-4</v>
          </cell>
          <cell r="H979">
            <v>1.5126832176283282E-4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2.37376616770548E-3</v>
          </cell>
          <cell r="E980">
            <v>5.9166548123134997E-5</v>
          </cell>
          <cell r="F980">
            <v>2.2248011049454199E-5</v>
          </cell>
          <cell r="G980">
            <v>4.5205047670393801E-5</v>
          </cell>
          <cell r="H980">
            <v>1.71458849503608E-5</v>
          </cell>
          <cell r="I980">
            <v>4.6219443357375304E-6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0.10309076616770547</v>
          </cell>
          <cell r="E981">
            <v>0.10313309070511842</v>
          </cell>
          <cell r="F981">
            <v>4.7033546049807251E-4</v>
          </cell>
          <cell r="G981">
            <v>1.0617316082456307E-5</v>
          </cell>
          <cell r="H981">
            <v>9.8486444871280038E-6</v>
          </cell>
          <cell r="I981">
            <v>-7.4788807147186954E-6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3.2785296741780998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7.9831504248730312</v>
          </cell>
          <cell r="H983">
            <v>4.3690599867030073</v>
          </cell>
          <cell r="I983">
            <v>1.9630166241439611</v>
          </cell>
        </row>
        <row r="984">
          <cell r="A984" t="str">
            <v>RHSA-WHSTG-ELCHP</v>
          </cell>
          <cell r="B984" t="str">
            <v>VAR_fout</v>
          </cell>
          <cell r="C984" t="str">
            <v>RHSA-WHAELCH</v>
          </cell>
          <cell r="D984">
            <v>1.23112653925561E-8</v>
          </cell>
          <cell r="E984">
            <v>1.008175174191384E-6</v>
          </cell>
          <cell r="F984">
            <v>0.23874743914237082</v>
          </cell>
          <cell r="G984">
            <v>0.26400531357257945</v>
          </cell>
          <cell r="H984">
            <v>0.96891821104610076</v>
          </cell>
          <cell r="I984">
            <v>1.3415894951468459</v>
          </cell>
        </row>
        <row r="985">
          <cell r="A985" t="str">
            <v>RHSA-WHSTG-ELCHP</v>
          </cell>
          <cell r="B985" t="str">
            <v>VAR_fin</v>
          </cell>
          <cell r="C985" t="str">
            <v>RHSA-WHAELCH</v>
          </cell>
          <cell r="D985">
            <v>5.797343954906534E-5</v>
          </cell>
          <cell r="E985">
            <v>4.0151333703147562E-5</v>
          </cell>
          <cell r="F985">
            <v>0.23875566034341456</v>
          </cell>
          <cell r="G985">
            <v>0.26402349368495415</v>
          </cell>
          <cell r="H985">
            <v>0.96896401546616806</v>
          </cell>
          <cell r="I985">
            <v>1.3416274101190273</v>
          </cell>
        </row>
        <row r="986">
          <cell r="A986" t="str">
            <v>RHSA-WHSTG-ELCHP</v>
          </cell>
          <cell r="B986" t="str">
            <v>VAR_ncap</v>
          </cell>
          <cell r="C986" t="str">
            <v>-</v>
          </cell>
          <cell r="D986">
            <v>1.56156302626207E-2</v>
          </cell>
          <cell r="E986">
            <v>4.2461979679287998E-2</v>
          </cell>
          <cell r="F986">
            <v>2.40179878745264E-2</v>
          </cell>
          <cell r="G986">
            <v>6.2228395797698101E-2</v>
          </cell>
          <cell r="H986">
            <v>0.11479142866323</v>
          </cell>
          <cell r="I986">
            <v>0.14875955688544701</v>
          </cell>
        </row>
        <row r="987">
          <cell r="A987" t="str">
            <v>RHSA-WHSTG-ELCHP</v>
          </cell>
          <cell r="B987" t="str">
            <v>VAR_cap</v>
          </cell>
          <cell r="C987" t="str">
            <v>-</v>
          </cell>
          <cell r="D987">
            <v>1.5616869792023789E-2</v>
          </cell>
          <cell r="E987">
            <v>5.7916980981239916E-2</v>
          </cell>
          <cell r="F987">
            <v>8.1882758278168419E-2</v>
          </cell>
          <cell r="G987">
            <v>0.1440643450417731</v>
          </cell>
          <cell r="H987">
            <v>0.23544679536868571</v>
          </cell>
          <cell r="I987">
            <v>0.26328413968283132</v>
          </cell>
        </row>
        <row r="988">
          <cell r="A988" t="str">
            <v>RHNM-SHCONBR3</v>
          </cell>
          <cell r="B988" t="str">
            <v>VAR_ncap</v>
          </cell>
          <cell r="C988" t="str">
            <v>-</v>
          </cell>
          <cell r="F988">
            <v>375</v>
          </cell>
          <cell r="G988">
            <v>3.27852967417819</v>
          </cell>
        </row>
        <row r="989">
          <cell r="A989" t="str">
            <v>RHNM-SHCONBR3</v>
          </cell>
          <cell r="B989" t="str">
            <v>VAR_cap</v>
          </cell>
          <cell r="C989" t="str">
            <v>-</v>
          </cell>
          <cell r="F989">
            <v>375</v>
          </cell>
          <cell r="G989">
            <v>7.983150424872008</v>
          </cell>
          <cell r="H989">
            <v>4.3690599867030073</v>
          </cell>
          <cell r="I989">
            <v>1.9630166241439611</v>
          </cell>
        </row>
        <row r="990">
          <cell r="A990" t="str">
            <v>RES-ELCSPECADV</v>
          </cell>
          <cell r="B990" t="str">
            <v>VAR_fout</v>
          </cell>
          <cell r="C990" t="str">
            <v>RHSA-ELS</v>
          </cell>
          <cell r="G990">
            <v>10.955043490448096</v>
          </cell>
          <cell r="H990">
            <v>29.400573648784242</v>
          </cell>
          <cell r="I990">
            <v>46.69736596585021</v>
          </cell>
        </row>
        <row r="991">
          <cell r="A991" t="str">
            <v>RES-ELCSPECADV</v>
          </cell>
          <cell r="B991" t="str">
            <v>VAR_fin</v>
          </cell>
          <cell r="C991" t="str">
            <v>RHSA_ELC</v>
          </cell>
          <cell r="G991">
            <v>7.3033623269653996</v>
          </cell>
          <cell r="H991">
            <v>19.600382432522849</v>
          </cell>
          <cell r="I991">
            <v>31.131577310566801</v>
          </cell>
        </row>
        <row r="992">
          <cell r="A992" t="str">
            <v>RES-ELCSPECADV</v>
          </cell>
          <cell r="B992" t="str">
            <v>VAR_ncap</v>
          </cell>
          <cell r="C992" t="str">
            <v>-</v>
          </cell>
          <cell r="F992">
            <v>3.66887078424908E-7</v>
          </cell>
          <cell r="G992">
            <v>1.15793954053183</v>
          </cell>
          <cell r="H992">
            <v>0.98596114868631002</v>
          </cell>
          <cell r="I992">
            <v>2.2302625516479999</v>
          </cell>
        </row>
        <row r="993">
          <cell r="A993" t="str">
            <v>RES-ELCSPECADV</v>
          </cell>
          <cell r="B993" t="str">
            <v>VAR_cap</v>
          </cell>
          <cell r="C993" t="str">
            <v>-</v>
          </cell>
          <cell r="F993">
            <v>3.66887078424908E-7</v>
          </cell>
          <cell r="G993">
            <v>1.1579398386413853</v>
          </cell>
          <cell r="H993">
            <v>3.1076195033950174</v>
          </cell>
          <cell r="I993">
            <v>4.9358783405461839</v>
          </cell>
        </row>
        <row r="994">
          <cell r="A994" t="str">
            <v>ITOT-SWHSTG-ELCHP</v>
          </cell>
          <cell r="B994" t="str">
            <v>VAR_fout</v>
          </cell>
          <cell r="C994" t="str">
            <v>ITOT-SWHAELCH</v>
          </cell>
          <cell r="D994">
            <v>3.5398083100434172E-4</v>
          </cell>
          <cell r="E994">
            <v>8.3471451783571736E-5</v>
          </cell>
          <cell r="F994">
            <v>7.6323196417924632E-3</v>
          </cell>
          <cell r="G994">
            <v>2.8275864924917198E-4</v>
          </cell>
          <cell r="H994">
            <v>2.4166563504405379E-4</v>
          </cell>
          <cell r="I994">
            <v>0.41039159007924952</v>
          </cell>
        </row>
        <row r="995">
          <cell r="A995" t="str">
            <v>ITOT-SWHSTG-ELCHP</v>
          </cell>
          <cell r="B995" t="str">
            <v>VAR_fin</v>
          </cell>
          <cell r="C995" t="str">
            <v>ITOT-SWHAELCH</v>
          </cell>
          <cell r="D995">
            <v>4.7775041540186182E-4</v>
          </cell>
          <cell r="E995">
            <v>1.0221526986544848E-4</v>
          </cell>
          <cell r="F995">
            <v>9.8481584114452087E-3</v>
          </cell>
          <cell r="G995">
            <v>3.5642253674610504E-4</v>
          </cell>
          <cell r="H995">
            <v>2.9451645367660619E-4</v>
          </cell>
          <cell r="I995">
            <v>0.45602610519603259</v>
          </cell>
        </row>
        <row r="996">
          <cell r="A996" t="str">
            <v>ITOT-SWHSTG-ELCHP</v>
          </cell>
          <cell r="B996" t="str">
            <v>VAR_ncap</v>
          </cell>
          <cell r="C996" t="str">
            <v>-</v>
          </cell>
          <cell r="D996">
            <v>1.8633718578637E-2</v>
          </cell>
          <cell r="E996">
            <v>9.6311048993472602E-5</v>
          </cell>
          <cell r="F996">
            <v>4.0603888382224297E-3</v>
          </cell>
          <cell r="G996">
            <v>2.3984997976648499E-2</v>
          </cell>
          <cell r="H996">
            <v>3.4428051019484901E-2</v>
          </cell>
          <cell r="I996">
            <v>5.7369866930097803E-2</v>
          </cell>
        </row>
        <row r="997">
          <cell r="A997" t="str">
            <v>ITOT-SWHSTG-ELCHP</v>
          </cell>
          <cell r="B997" t="str">
            <v>VAR_cap</v>
          </cell>
          <cell r="C997" t="str">
            <v>-</v>
          </cell>
          <cell r="D997">
            <v>1.8633718578637E-2</v>
          </cell>
          <cell r="E997">
            <v>1.8008430572204304E-2</v>
          </cell>
          <cell r="F997">
            <v>2.2065111653774762E-2</v>
          </cell>
          <cell r="G997">
            <v>4.5922001528007385E-2</v>
          </cell>
          <cell r="H997">
            <v>0.10358917352257856</v>
          </cell>
          <cell r="I997">
            <v>0.10432893899101969</v>
          </cell>
        </row>
        <row r="998">
          <cell r="A998" t="str">
            <v>D-RHNS_LTH_CHPWOD</v>
          </cell>
          <cell r="B998" t="str">
            <v>VAR_fout</v>
          </cell>
          <cell r="C998" t="str">
            <v>RHNS_LTH_CHPWOD_ON</v>
          </cell>
          <cell r="D998">
            <v>1.388068196721815E-4</v>
          </cell>
          <cell r="E998">
            <v>1.0008206107504049E-4</v>
          </cell>
          <cell r="F998">
            <v>1.8249216362159862E-5</v>
          </cell>
          <cell r="G998">
            <v>1.2600659683119329E-4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RHSA_LTH</v>
          </cell>
          <cell r="D999">
            <v>5.9267363961716905E-5</v>
          </cell>
          <cell r="E999">
            <v>1.3457060472248642E-4</v>
          </cell>
          <cell r="F999">
            <v>5.6098184592380515E-5</v>
          </cell>
          <cell r="G999">
            <v>8.2559678354853742E-4</v>
          </cell>
          <cell r="H999">
            <v>7.3286080570649328E-4</v>
          </cell>
          <cell r="I999">
            <v>8.7081065852988727E-4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LTH</v>
          </cell>
          <cell r="E1000">
            <v>3.788449769142022E-6</v>
          </cell>
          <cell r="F1000">
            <v>2.1638458821252852E-6</v>
          </cell>
          <cell r="I1000">
            <v>6.314982850095534E-7</v>
          </cell>
        </row>
        <row r="1001">
          <cell r="A1001" t="str">
            <v>D-RHNS_LTH_CHPWOD</v>
          </cell>
          <cell r="B1001" t="str">
            <v>VAR_fin</v>
          </cell>
          <cell r="C1001" t="str">
            <v>RHNS_LTH_CHPWOD</v>
          </cell>
          <cell r="D1001">
            <v>1.9807418363389841E-4</v>
          </cell>
          <cell r="E1001">
            <v>2.3844111556666894E-4</v>
          </cell>
          <cell r="F1001">
            <v>7.6511246836665704E-5</v>
          </cell>
          <cell r="G1001">
            <v>9.5238900077465236E-4</v>
          </cell>
          <cell r="H1001">
            <v>7.3423640718379209E-4</v>
          </cell>
          <cell r="I1001">
            <v>8.7286931808285722E-4</v>
          </cell>
        </row>
        <row r="1002">
          <cell r="A1002" t="str">
            <v>RHNM-SHCONBR4</v>
          </cell>
          <cell r="B1002" t="str">
            <v>VAR_ncap</v>
          </cell>
          <cell r="C1002" t="str">
            <v>-</v>
          </cell>
          <cell r="F1002">
            <v>375</v>
          </cell>
          <cell r="G1002">
            <v>3.2785296741780998</v>
          </cell>
        </row>
        <row r="1003">
          <cell r="A1003" t="str">
            <v>RHNM-SHCONBR4</v>
          </cell>
          <cell r="B1003" t="str">
            <v>VAR_cap</v>
          </cell>
          <cell r="C1003" t="str">
            <v>-</v>
          </cell>
          <cell r="F1003">
            <v>375</v>
          </cell>
          <cell r="G1003">
            <v>7.9831504248730312</v>
          </cell>
          <cell r="H1003">
            <v>4.3690599867030073</v>
          </cell>
          <cell r="I1003">
            <v>1.9630166241439611</v>
          </cell>
        </row>
        <row r="1004">
          <cell r="A1004" t="str">
            <v>D-SBIO</v>
          </cell>
          <cell r="B1004" t="str">
            <v>VAR_fout</v>
          </cell>
          <cell r="C1004" t="str">
            <v>SBIO</v>
          </cell>
          <cell r="D1004">
            <v>4.0477141294122179</v>
          </cell>
          <cell r="E1004">
            <v>4.5833165277833956</v>
          </cell>
          <cell r="F1004">
            <v>3.855741703216319</v>
          </cell>
          <cell r="G1004">
            <v>3.180334784822568</v>
          </cell>
          <cell r="H1004">
            <v>7.7251103280268349</v>
          </cell>
          <cell r="I1004">
            <v>9.9705315649792663</v>
          </cell>
        </row>
        <row r="1005">
          <cell r="A1005" t="str">
            <v>D-SBIO</v>
          </cell>
          <cell r="B1005" t="str">
            <v>VAR_fin</v>
          </cell>
          <cell r="C1005" t="str">
            <v>BIO</v>
          </cell>
          <cell r="D1005">
            <v>4.0477141294122179</v>
          </cell>
          <cell r="E1005">
            <v>4.5833165277833956</v>
          </cell>
          <cell r="F1005">
            <v>3.855741703216319</v>
          </cell>
          <cell r="G1005">
            <v>3.180334784822568</v>
          </cell>
          <cell r="H1005">
            <v>7.7251103280268349</v>
          </cell>
          <cell r="I1005">
            <v>9.9705315649792663</v>
          </cell>
        </row>
        <row r="1006">
          <cell r="A1006" t="str">
            <v>RHEM-SHDEM</v>
          </cell>
          <cell r="B1006" t="str">
            <v>VAR_fout</v>
          </cell>
          <cell r="C1006" t="str">
            <v>RHEM-SHD</v>
          </cell>
          <cell r="D1006">
            <v>66.986774791699034</v>
          </cell>
          <cell r="E1006">
            <v>66.782026660973159</v>
          </cell>
          <cell r="F1006">
            <v>66.360341695156919</v>
          </cell>
          <cell r="G1006">
            <v>63.261846275148685</v>
          </cell>
          <cell r="H1006">
            <v>57.024710523634454</v>
          </cell>
          <cell r="I1006">
            <v>53.253198241306848</v>
          </cell>
        </row>
        <row r="1007">
          <cell r="A1007" t="str">
            <v>RHEM-SHDEM</v>
          </cell>
          <cell r="B1007" t="str">
            <v>VAR_fin</v>
          </cell>
          <cell r="C1007" t="str">
            <v>RHEM-SHNST</v>
          </cell>
          <cell r="D1007">
            <v>4.4822203781354995E-4</v>
          </cell>
          <cell r="F1007">
            <v>3.1119733788810284E-6</v>
          </cell>
          <cell r="G1007">
            <v>3.4532406382702819E-6</v>
          </cell>
          <cell r="H1007">
            <v>6.116804010593275E-6</v>
          </cell>
          <cell r="I1007">
            <v>1.764410725326207E-7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RHEM-SHPLT</v>
          </cell>
          <cell r="D1008">
            <v>1.4003424197489702</v>
          </cell>
          <cell r="E1008">
            <v>1.6077817463921666</v>
          </cell>
          <cell r="F1008">
            <v>0.16367469900153828</v>
          </cell>
          <cell r="G1008">
            <v>0.1403923579911584</v>
          </cell>
          <cell r="H1008">
            <v>8.0866048092893383E-2</v>
          </cell>
          <cell r="I1008">
            <v>2.9217628708617594E-2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RHEM-SHNGAH</v>
          </cell>
          <cell r="D1009">
            <v>3.8292027409035488E-4</v>
          </cell>
          <cell r="E1009">
            <v>2.5705114327694273E-5</v>
          </cell>
          <cell r="F1009">
            <v>2.1388728935610977</v>
          </cell>
          <cell r="G1009">
            <v>3.906370715623023</v>
          </cell>
          <cell r="H1009">
            <v>5.232793258143011</v>
          </cell>
          <cell r="I1009">
            <v>3.709562418068121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RHEM-SHLTHC-WOD</v>
          </cell>
          <cell r="D1010">
            <v>4.4522632518878915E-4</v>
          </cell>
          <cell r="E1010">
            <v>5.668537919859954E-5</v>
          </cell>
          <cell r="F1010">
            <v>4.0833554121707663E-6</v>
          </cell>
          <cell r="G1010">
            <v>3.715082825628593E-6</v>
          </cell>
          <cell r="H1010">
            <v>4.8706782267139264E-7</v>
          </cell>
          <cell r="I1010">
            <v>2.186871483071903E-7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RHEM-SHSOL</v>
          </cell>
          <cell r="D1011">
            <v>0.40853651571259864</v>
          </cell>
          <cell r="E1011">
            <v>0.47092625114909603</v>
          </cell>
          <cell r="F1011">
            <v>1.2249866267409851E-2</v>
          </cell>
          <cell r="G1011">
            <v>1.5874699766262868E-2</v>
          </cell>
          <cell r="H1011">
            <v>1.6431912422004584E-2</v>
          </cell>
          <cell r="I1011">
            <v>1.4940880049321299E-2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RHEM-SHLTHD</v>
          </cell>
          <cell r="D1012">
            <v>3.3688414741020392</v>
          </cell>
          <cell r="E1012">
            <v>3.7887037965101311</v>
          </cell>
          <cell r="F1012">
            <v>4.4455054776130423</v>
          </cell>
          <cell r="G1012">
            <v>6.5686533614100586</v>
          </cell>
          <cell r="H1012">
            <v>6.263388121790868</v>
          </cell>
          <cell r="I1012">
            <v>4.9337849794283439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RHEM-SHNGA</v>
          </cell>
          <cell r="D1013">
            <v>18.997939994303461</v>
          </cell>
          <cell r="E1013">
            <v>20.447608076263734</v>
          </cell>
          <cell r="F1013">
            <v>20.987999770549308</v>
          </cell>
          <cell r="G1013">
            <v>13.550864899715773</v>
          </cell>
          <cell r="H1013">
            <v>1.9420672727984594</v>
          </cell>
          <cell r="I1013">
            <v>0.67988772107556028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RHEM-SHELCB</v>
          </cell>
          <cell r="D1014">
            <v>4.626921889564672</v>
          </cell>
          <cell r="E1014">
            <v>3.1705666977449143</v>
          </cell>
          <cell r="F1014">
            <v>3.501455636298665E-2</v>
          </cell>
          <cell r="G1014">
            <v>8.4707324865073933E-3</v>
          </cell>
          <cell r="H1014">
            <v>2.8172449568262263E-3</v>
          </cell>
          <cell r="I1014">
            <v>1.540716749076225E-3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RHEM-SHELCH</v>
          </cell>
          <cell r="D1015">
            <v>9.9012292049808508</v>
          </cell>
          <cell r="E1015">
            <v>11.655175956038423</v>
          </cell>
          <cell r="F1015">
            <v>11.007559264058786</v>
          </cell>
          <cell r="G1015">
            <v>19.049954851775521</v>
          </cell>
          <cell r="H1015">
            <v>27.621503290031306</v>
          </cell>
          <cell r="I1015">
            <v>24.89364669507539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RHEM-SHLFO</v>
          </cell>
          <cell r="D1016">
            <v>23.442099331875507</v>
          </cell>
          <cell r="E1016">
            <v>18.771302763360072</v>
          </cell>
          <cell r="F1016">
            <v>19.703915500113293</v>
          </cell>
          <cell r="G1016">
            <v>9.3519313785571043</v>
          </cell>
          <cell r="H1016">
            <v>1.3552570980623422</v>
          </cell>
          <cell r="I1016">
            <v>7.1807837074654643E-2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RHEM-SHCON</v>
          </cell>
          <cell r="D1017">
            <v>5.0707807590658613E-2</v>
          </cell>
          <cell r="E1017">
            <v>3.5545106081872837</v>
          </cell>
          <cell r="F1017">
            <v>2.8686841825826219</v>
          </cell>
          <cell r="G1017">
            <v>6.5802655197683322</v>
          </cell>
          <cell r="H1017">
            <v>12.149431135592367</v>
          </cell>
          <cell r="I1017">
            <v>17.894542597713553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RHEM-SHWOD</v>
          </cell>
          <cell r="D1018">
            <v>4.7428317524824237</v>
          </cell>
          <cell r="E1018">
            <v>3.3164620444655921</v>
          </cell>
          <cell r="F1018">
            <v>4.9990422143659048</v>
          </cell>
          <cell r="G1018">
            <v>4.0905459630027048</v>
          </cell>
          <cell r="H1018">
            <v>2.3615922520954307</v>
          </cell>
          <cell r="I1018">
            <v>1.0255025658847441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RHEM-SHLTHC-NGA</v>
          </cell>
          <cell r="D1019">
            <v>4.8843871655013922E-2</v>
          </cell>
          <cell r="E1019">
            <v>8.7513112207472687E-4</v>
          </cell>
          <cell r="F1019">
            <v>2.4427422427354152E-6</v>
          </cell>
          <cell r="G1019">
            <v>3.2994613455768737E-6</v>
          </cell>
          <cell r="H1019">
            <v>1.2162049608260141E-7</v>
          </cell>
          <cell r="I1019">
            <v>5.0329929185889224E-6</v>
          </cell>
        </row>
        <row r="1020">
          <cell r="A1020" t="str">
            <v>ITOT-SWHH2BR</v>
          </cell>
          <cell r="B1020" t="str">
            <v>VAR_fout</v>
          </cell>
          <cell r="C1020" t="str">
            <v>ITOT-SWH</v>
          </cell>
          <cell r="H1020">
            <v>1.3133464522714562</v>
          </cell>
          <cell r="I1020">
            <v>2.7202974349687912</v>
          </cell>
        </row>
        <row r="1021">
          <cell r="A1021" t="str">
            <v>ITOT-SWHH2BR</v>
          </cell>
          <cell r="B1021" t="str">
            <v>VAR_fin</v>
          </cell>
          <cell r="C1021" t="str">
            <v>IH2</v>
          </cell>
          <cell r="H1021">
            <v>1.624370423711357</v>
          </cell>
          <cell r="I1021">
            <v>3.3499154961816333</v>
          </cell>
        </row>
        <row r="1022">
          <cell r="A1022" t="str">
            <v>ITOT-SWHH2BR</v>
          </cell>
          <cell r="B1022" t="str">
            <v>VAR_ncap</v>
          </cell>
          <cell r="C1022" t="str">
            <v>-</v>
          </cell>
          <cell r="H1022">
            <v>9.9450788916798302E-3</v>
          </cell>
          <cell r="I1022">
            <v>0.19390672963309599</v>
          </cell>
        </row>
        <row r="1023">
          <cell r="A1023" t="str">
            <v>ITOT-SWHH2BR</v>
          </cell>
          <cell r="B1023" t="str">
            <v>VAR_cap</v>
          </cell>
          <cell r="C1023" t="str">
            <v>-</v>
          </cell>
          <cell r="H1023">
            <v>0.11155352042558914</v>
          </cell>
          <cell r="I1023">
            <v>0.24408470241228683</v>
          </cell>
        </row>
        <row r="1024">
          <cell r="A1024" t="str">
            <v>RHNS-SHSTG-ELC</v>
          </cell>
          <cell r="B1024" t="str">
            <v>VAR_fout</v>
          </cell>
          <cell r="C1024" t="str">
            <v>RHNS-SHAELCB</v>
          </cell>
          <cell r="E1024">
            <v>1.3044372959667753E-5</v>
          </cell>
          <cell r="F1024">
            <v>1.1551447844677842E-3</v>
          </cell>
          <cell r="G1024">
            <v>1.676748007615432E-3</v>
          </cell>
          <cell r="H1024">
            <v>1.8522386197547887E-3</v>
          </cell>
          <cell r="I1024">
            <v>8.1728147344812109E-4</v>
          </cell>
        </row>
        <row r="1025">
          <cell r="A1025" t="str">
            <v>RHNS-SHSTG-ELC</v>
          </cell>
          <cell r="B1025" t="str">
            <v>VAR_fin</v>
          </cell>
          <cell r="C1025" t="str">
            <v>RHNS-SHAELCB</v>
          </cell>
          <cell r="E1025">
            <v>2.4112999758004823E-6</v>
          </cell>
          <cell r="F1025">
            <v>1.1401909278961739E-3</v>
          </cell>
          <cell r="G1025">
            <v>1.6644009395557653E-3</v>
          </cell>
          <cell r="H1025">
            <v>1.8558407774913136E-3</v>
          </cell>
          <cell r="I1025">
            <v>8.1814873673320167E-4</v>
          </cell>
        </row>
        <row r="1026">
          <cell r="A1026" t="str">
            <v>RHNS-SHSTG-ELC</v>
          </cell>
          <cell r="B1026" t="str">
            <v>VAR_ncap</v>
          </cell>
          <cell r="C1026" t="str">
            <v>-</v>
          </cell>
          <cell r="D1026">
            <v>8.7072496971741899E-5</v>
          </cell>
          <cell r="E1026">
            <v>7.02937940450512E-4</v>
          </cell>
          <cell r="F1026">
            <v>1.9667891885725099E-4</v>
          </cell>
          <cell r="G1026">
            <v>6.8365107388264297E-5</v>
          </cell>
          <cell r="H1026">
            <v>8.0198170873095004E-5</v>
          </cell>
          <cell r="I1026">
            <v>5.3164691505048197E-5</v>
          </cell>
        </row>
        <row r="1027">
          <cell r="A1027" t="str">
            <v>RHNS-SHSTG-ELC</v>
          </cell>
          <cell r="B1027" t="str">
            <v>VAR_cap</v>
          </cell>
          <cell r="C1027" t="str">
            <v>-</v>
          </cell>
          <cell r="D1027">
            <v>8.7072496971741899E-5</v>
          </cell>
          <cell r="E1027">
            <v>7.7365665275942242E-4</v>
          </cell>
          <cell r="F1027">
            <v>9.346839754806025E-4</v>
          </cell>
          <cell r="G1027">
            <v>9.3518181721376789E-4</v>
          </cell>
          <cell r="H1027">
            <v>3.5273706971494703E-4</v>
          </cell>
          <cell r="I1027">
            <v>1.5185474952887748E-4</v>
          </cell>
        </row>
        <row r="1028">
          <cell r="A1028" t="str">
            <v>RHES-SHCOABR</v>
          </cell>
          <cell r="B1028" t="str">
            <v>VAR_fout</v>
          </cell>
          <cell r="C1028" t="str">
            <v>CO2_R</v>
          </cell>
          <cell r="D1028">
            <v>9.2711939547168996</v>
          </cell>
          <cell r="E1028">
            <v>9.2705897384879403</v>
          </cell>
          <cell r="F1028">
            <v>2.44202474489285</v>
          </cell>
        </row>
        <row r="1029">
          <cell r="A1029" t="str">
            <v>RHES-SHCOABR</v>
          </cell>
          <cell r="B1029" t="str">
            <v>VAR_fout</v>
          </cell>
          <cell r="C1029" t="str">
            <v>RHES-SHCOA</v>
          </cell>
          <cell r="D1029">
            <v>7.2009273434694349E-2</v>
          </cell>
          <cell r="E1029">
            <v>7.2004580493110273E-2</v>
          </cell>
          <cell r="F1029">
            <v>2.1053609766708083E-2</v>
          </cell>
        </row>
        <row r="1030">
          <cell r="A1030" t="str">
            <v>RHES-SHCOABR</v>
          </cell>
          <cell r="B1030" t="str">
            <v>VAR_fin</v>
          </cell>
          <cell r="C1030" t="str">
            <v>RCOA</v>
          </cell>
          <cell r="D1030">
            <v>0.10001287977040883</v>
          </cell>
          <cell r="E1030">
            <v>0.10000636179598643</v>
          </cell>
          <cell r="F1030">
            <v>2.6343309006395383E-2</v>
          </cell>
        </row>
        <row r="1031">
          <cell r="A1031" t="str">
            <v>RHES-SHCOABR</v>
          </cell>
          <cell r="B1031" t="str">
            <v>VAR_cap</v>
          </cell>
          <cell r="C1031" t="str">
            <v>-</v>
          </cell>
          <cell r="D1031">
            <v>7.0000000000000001E-3</v>
          </cell>
          <cell r="E1031">
            <v>6.9671294419025274E-3</v>
          </cell>
          <cell r="F1031">
            <v>2.74497418884837E-3</v>
          </cell>
          <cell r="G1031">
            <v>4.5602383467900284E-6</v>
          </cell>
        </row>
        <row r="1032">
          <cell r="A1032" t="str">
            <v>D-INGA</v>
          </cell>
          <cell r="B1032" t="str">
            <v>VAR_fout</v>
          </cell>
          <cell r="C1032" t="str">
            <v>CO2</v>
          </cell>
          <cell r="D1032">
            <v>2102.3858148187301</v>
          </cell>
          <cell r="E1032">
            <v>1762.8667066160999</v>
          </cell>
          <cell r="F1032">
            <v>1904.68800024494</v>
          </cell>
          <cell r="G1032">
            <v>1302.39333566806</v>
          </cell>
          <cell r="H1032">
            <v>316.89343350191803</v>
          </cell>
          <cell r="I1032">
            <v>2.3895828549033902E-3</v>
          </cell>
        </row>
        <row r="1033">
          <cell r="A1033" t="str">
            <v>D-INGA</v>
          </cell>
          <cell r="B1033" t="str">
            <v>VAR_fout</v>
          </cell>
          <cell r="C1033" t="str">
            <v>IH2</v>
          </cell>
          <cell r="H1033">
            <v>0.29545865004123545</v>
          </cell>
          <cell r="I1033">
            <v>0.10195851758783386</v>
          </cell>
        </row>
        <row r="1034">
          <cell r="A1034" t="str">
            <v>D-INGA</v>
          </cell>
          <cell r="B1034" t="str">
            <v>VAR_fout</v>
          </cell>
          <cell r="C1034" t="str">
            <v>INGA</v>
          </cell>
          <cell r="D1034">
            <v>37.4846395417294</v>
          </cell>
          <cell r="E1034">
            <v>31.156790013355177</v>
          </cell>
          <cell r="F1034">
            <v>37.591995673054235</v>
          </cell>
          <cell r="G1034">
            <v>26.947719547059386</v>
          </cell>
          <cell r="H1034">
            <v>9.5289340812225358</v>
          </cell>
          <cell r="I1034">
            <v>3.928713248588255</v>
          </cell>
        </row>
        <row r="1035">
          <cell r="A1035" t="str">
            <v>D-INGA</v>
          </cell>
          <cell r="B1035" t="str">
            <v>VAR_fin</v>
          </cell>
          <cell r="C1035" t="str">
            <v>NGA</v>
          </cell>
          <cell r="D1035">
            <v>37.276344234374584</v>
          </cell>
          <cell r="E1035">
            <v>31.256501890356375</v>
          </cell>
          <cell r="F1035">
            <v>33.771063834130118</v>
          </cell>
          <cell r="G1035">
            <v>23.092080419646507</v>
          </cell>
          <cell r="H1035">
            <v>5.6186778989701747</v>
          </cell>
          <cell r="I1035">
            <v>4.2368490335166545E-5</v>
          </cell>
        </row>
        <row r="1036">
          <cell r="A1036" t="str">
            <v>D-INGA</v>
          </cell>
          <cell r="B1036" t="str">
            <v>VAR_fin</v>
          </cell>
          <cell r="C1036" t="str">
            <v>BNGA</v>
          </cell>
          <cell r="D1036">
            <v>0.32804447108628992</v>
          </cell>
          <cell r="E1036">
            <v>3.5856457869193051E-5</v>
          </cell>
          <cell r="F1036">
            <v>3.9412327343159617</v>
          </cell>
          <cell r="G1036">
            <v>3.9420141391010213</v>
          </cell>
          <cell r="H1036">
            <v>3.9420145670035391</v>
          </cell>
          <cell r="I1036">
            <v>3.9420147181695286</v>
          </cell>
        </row>
        <row r="1037">
          <cell r="A1037" t="str">
            <v>D-INGA</v>
          </cell>
          <cell r="B1037" t="str">
            <v>VAR_fin</v>
          </cell>
          <cell r="C1037" t="str">
            <v>H2</v>
          </cell>
          <cell r="H1037">
            <v>0.29545607285062148</v>
          </cell>
          <cell r="I1037">
            <v>0.10195021562390788</v>
          </cell>
        </row>
        <row r="1038">
          <cell r="A1038" t="str">
            <v>D-INGA</v>
          </cell>
          <cell r="B1038" t="str">
            <v>VAR_ncap</v>
          </cell>
          <cell r="C1038" t="str">
            <v>-</v>
          </cell>
          <cell r="D1038">
            <v>3.2425138686270799E-6</v>
          </cell>
          <cell r="E1038">
            <v>1.26098709242159E-6</v>
          </cell>
          <cell r="F1038">
            <v>1.58925965565245E-6</v>
          </cell>
          <cell r="G1038">
            <v>1.88413395687096E-6</v>
          </cell>
          <cell r="H1038">
            <v>5.9049925102460202E-6</v>
          </cell>
          <cell r="I1038">
            <v>1.87731327166131E-4</v>
          </cell>
        </row>
        <row r="1039">
          <cell r="A1039" t="str">
            <v>D-INGA</v>
          </cell>
          <cell r="B1039" t="str">
            <v>VAR_cap</v>
          </cell>
          <cell r="C1039" t="str">
            <v>-</v>
          </cell>
          <cell r="D1039">
            <v>1.9844866127799685</v>
          </cell>
          <cell r="E1039">
            <v>1.984487873767061</v>
          </cell>
          <cell r="F1039">
            <v>1.9844894630267167</v>
          </cell>
          <cell r="G1039">
            <v>1.9844913471606735</v>
          </cell>
          <cell r="H1039">
            <v>1.9845014370655709</v>
          </cell>
          <cell r="I1039">
            <v>1.0956652355725571</v>
          </cell>
        </row>
        <row r="1040">
          <cell r="A1040" t="str">
            <v>RHEM-SHNGAHP</v>
          </cell>
          <cell r="B1040" t="str">
            <v>VAR_fout</v>
          </cell>
          <cell r="C1040" t="str">
            <v>CO2_R</v>
          </cell>
          <cell r="F1040">
            <v>63.462873214774099</v>
          </cell>
          <cell r="G1040">
            <v>111.69796338341899</v>
          </cell>
          <cell r="H1040">
            <v>145.63161588997701</v>
          </cell>
          <cell r="I1040">
            <v>98.199174495547794</v>
          </cell>
        </row>
        <row r="1041">
          <cell r="A1041" t="str">
            <v>RHEM-SHNGAHP</v>
          </cell>
          <cell r="B1041" t="str">
            <v>VAR_fout</v>
          </cell>
          <cell r="C1041" t="str">
            <v>RHEM-SHANGAH</v>
          </cell>
          <cell r="F1041">
            <v>2.1389459714384937</v>
          </cell>
          <cell r="G1041">
            <v>3.9064443758982668</v>
          </cell>
          <cell r="H1041">
            <v>5.2328231207372529</v>
          </cell>
          <cell r="I1041">
            <v>3.7095932241362068</v>
          </cell>
        </row>
        <row r="1042">
          <cell r="A1042" t="str">
            <v>RHEM-SHNGAHP</v>
          </cell>
          <cell r="B1042" t="str">
            <v>VAR_fin</v>
          </cell>
          <cell r="C1042" t="str">
            <v>RHEMELCHPC</v>
          </cell>
          <cell r="F1042">
            <v>2.1389459714384937</v>
          </cell>
          <cell r="G1042">
            <v>3.9064443758982668</v>
          </cell>
          <cell r="H1042">
            <v>5.2328231207372529</v>
          </cell>
          <cell r="I1042">
            <v>3.7095932241362068</v>
          </cell>
        </row>
        <row r="1043">
          <cell r="A1043" t="str">
            <v>RHEM-SHNGAHP</v>
          </cell>
          <cell r="B1043" t="str">
            <v>VAR_fin</v>
          </cell>
          <cell r="C1043" t="str">
            <v>RNGA</v>
          </cell>
          <cell r="F1043">
            <v>1.1252282484889025</v>
          </cell>
          <cell r="G1043">
            <v>1.9804603436776476</v>
          </cell>
          <cell r="H1043">
            <v>2.5821208491130605</v>
          </cell>
          <cell r="I1043">
            <v>1.7411201151692897</v>
          </cell>
        </row>
        <row r="1044">
          <cell r="A1044" t="str">
            <v>RHEM-SHNGAHP</v>
          </cell>
          <cell r="B1044" t="str">
            <v>VAR_ncap</v>
          </cell>
          <cell r="C1044" t="str">
            <v>-</v>
          </cell>
          <cell r="D1044">
            <v>2.5230523493836002E-7</v>
          </cell>
          <cell r="E1044">
            <v>5.8529001571819397E-7</v>
          </cell>
          <cell r="F1044">
            <v>0.15109509011389</v>
          </cell>
          <cell r="G1044">
            <v>0.124774680433408</v>
          </cell>
          <cell r="H1044">
            <v>0.206300209161454</v>
          </cell>
          <cell r="I1044">
            <v>9.0790653746987804E-2</v>
          </cell>
        </row>
        <row r="1045">
          <cell r="A1045" t="str">
            <v>RHEM-SHNGAHP</v>
          </cell>
          <cell r="B1045" t="str">
            <v>VAR_cap</v>
          </cell>
          <cell r="C1045" t="str">
            <v>-</v>
          </cell>
          <cell r="D1045">
            <v>2.5230523493836002E-7</v>
          </cell>
          <cell r="E1045">
            <v>4.0799856346778996E-8</v>
          </cell>
          <cell r="F1045">
            <v>0.15109515985134811</v>
          </cell>
          <cell r="G1045">
            <v>0.27586985611789316</v>
          </cell>
          <cell r="H1045">
            <v>0.36958597608178484</v>
          </cell>
          <cell r="I1045">
            <v>0.26221100043101392</v>
          </cell>
        </row>
        <row r="1046">
          <cell r="A1046" t="str">
            <v>D-SPLT</v>
          </cell>
          <cell r="B1046" t="str">
            <v>VAR_fout</v>
          </cell>
          <cell r="C1046" t="str">
            <v>SPLT</v>
          </cell>
          <cell r="D1046">
            <v>2.0856467596463988</v>
          </cell>
          <cell r="E1046">
            <v>2.4001010381302459</v>
          </cell>
          <cell r="F1046">
            <v>0.29185545219730624</v>
          </cell>
          <cell r="G1046">
            <v>0.25531541080899062</v>
          </cell>
          <cell r="H1046">
            <v>0.13223701206552868</v>
          </cell>
          <cell r="I1046">
            <v>4.3629461043107616E-2</v>
          </cell>
        </row>
        <row r="1047">
          <cell r="A1047" t="str">
            <v>D-SPLT</v>
          </cell>
          <cell r="B1047" t="str">
            <v>VAR_fin</v>
          </cell>
          <cell r="C1047" t="str">
            <v>PLT</v>
          </cell>
          <cell r="D1047">
            <v>2.0856467596463988</v>
          </cell>
          <cell r="E1047">
            <v>2.4001010381302459</v>
          </cell>
          <cell r="F1047">
            <v>0.29185545219730624</v>
          </cell>
          <cell r="G1047">
            <v>0.25531541080899062</v>
          </cell>
          <cell r="H1047">
            <v>0.13223701206552868</v>
          </cell>
          <cell r="I1047">
            <v>4.3629461043107616E-2</v>
          </cell>
        </row>
        <row r="1048">
          <cell r="A1048" t="str">
            <v>RHES-SHCONBR</v>
          </cell>
          <cell r="B1048" t="str">
            <v>VAR_fout</v>
          </cell>
          <cell r="C1048" t="str">
            <v>RHES-SHCON</v>
          </cell>
          <cell r="F1048">
            <v>1.9511638729527325E-4</v>
          </cell>
          <cell r="G1048">
            <v>1.4497447423577879E-4</v>
          </cell>
          <cell r="H1048">
            <v>3.3104991060594691E-4</v>
          </cell>
          <cell r="I1048">
            <v>3.9583312880000425E-4</v>
          </cell>
        </row>
        <row r="1049">
          <cell r="A1049" t="str">
            <v>RHES-SHCONBR</v>
          </cell>
          <cell r="B1049" t="str">
            <v>VAR_fin</v>
          </cell>
          <cell r="C1049" t="str">
            <v>CON</v>
          </cell>
          <cell r="F1049">
            <v>1.9511638729527325E-4</v>
          </cell>
          <cell r="G1049">
            <v>1.4497447423577879E-4</v>
          </cell>
          <cell r="H1049">
            <v>3.3104991060594691E-4</v>
          </cell>
          <cell r="I1049">
            <v>3.9583312880000425E-4</v>
          </cell>
        </row>
        <row r="1050">
          <cell r="A1050" t="str">
            <v>RHES-SHCONBR</v>
          </cell>
          <cell r="B1050" t="str">
            <v>VAR_ncap</v>
          </cell>
          <cell r="C1050" t="str">
            <v>-</v>
          </cell>
          <cell r="D1050">
            <v>7.8783351305233406E-8</v>
          </cell>
          <cell r="E1050">
            <v>1.06558164893162E-7</v>
          </cell>
          <cell r="F1050">
            <v>4.6749092356115498E-6</v>
          </cell>
          <cell r="G1050">
            <v>2.27790948893105E-7</v>
          </cell>
          <cell r="H1050">
            <v>1.7582495374674E-6</v>
          </cell>
          <cell r="I1050">
            <v>7.5752360084245203E-6</v>
          </cell>
        </row>
        <row r="1051">
          <cell r="A1051" t="str">
            <v>RHES-SHCONBR</v>
          </cell>
          <cell r="B1051" t="str">
            <v>VAR_cap</v>
          </cell>
          <cell r="C1051" t="str">
            <v>-</v>
          </cell>
          <cell r="D1051">
            <v>7.8783351305233406E-8</v>
          </cell>
          <cell r="E1051">
            <v>-1.3507947241652051E-6</v>
          </cell>
          <cell r="F1051">
            <v>4.7432535048625657E-6</v>
          </cell>
          <cell r="G1051">
            <v>4.9119845492280673E-6</v>
          </cell>
          <cell r="H1051">
            <v>1.7749177646495346E-5</v>
          </cell>
          <cell r="I1051">
            <v>2.5592602590751743E-5</v>
          </cell>
        </row>
        <row r="1052">
          <cell r="A1052" t="str">
            <v>RHSA-WHSOLBR</v>
          </cell>
          <cell r="B1052" t="str">
            <v>VAR_fout</v>
          </cell>
          <cell r="C1052" t="str">
            <v>RHSA-WHASOL</v>
          </cell>
          <cell r="D1052">
            <v>1.721488024659851</v>
          </cell>
          <cell r="E1052">
            <v>1.9867953655616277</v>
          </cell>
          <cell r="F1052">
            <v>1.0139714168953435</v>
          </cell>
          <cell r="G1052">
            <v>1.5121113645699555</v>
          </cell>
          <cell r="H1052">
            <v>2.0811796535308957</v>
          </cell>
          <cell r="I1052">
            <v>2.35396569533038</v>
          </cell>
        </row>
        <row r="1053">
          <cell r="A1053" t="str">
            <v>RHSA-WHSOLBR</v>
          </cell>
          <cell r="B1053" t="str">
            <v>VAR_fin</v>
          </cell>
          <cell r="C1053" t="str">
            <v>SOL</v>
          </cell>
          <cell r="D1053">
            <v>1.721488024659851</v>
          </cell>
          <cell r="E1053">
            <v>1.9867953655616277</v>
          </cell>
          <cell r="F1053">
            <v>1.0139714168953435</v>
          </cell>
          <cell r="G1053">
            <v>1.5121113645699555</v>
          </cell>
          <cell r="H1053">
            <v>2.0811796535308957</v>
          </cell>
          <cell r="I1053">
            <v>2.35396569533038</v>
          </cell>
        </row>
        <row r="1054">
          <cell r="A1054" t="str">
            <v>RHSA-WHSOLBR</v>
          </cell>
          <cell r="B1054" t="str">
            <v>VAR_fin</v>
          </cell>
          <cell r="C1054" t="str">
            <v>RHSASOLBRC</v>
          </cell>
          <cell r="D1054">
            <v>1.721488024659851</v>
          </cell>
          <cell r="E1054">
            <v>1.9867953655616277</v>
          </cell>
          <cell r="F1054">
            <v>1.0139714168953435</v>
          </cell>
          <cell r="G1054">
            <v>1.5121113645699555</v>
          </cell>
          <cell r="H1054">
            <v>2.0811796535308957</v>
          </cell>
          <cell r="I1054">
            <v>2.35396569533038</v>
          </cell>
        </row>
        <row r="1055">
          <cell r="A1055" t="str">
            <v>RHSA-WHSOLBR</v>
          </cell>
          <cell r="B1055" t="str">
            <v>VAR_ncap</v>
          </cell>
          <cell r="C1055" t="str">
            <v>-</v>
          </cell>
          <cell r="E1055">
            <v>8.4122923379354994E-2</v>
          </cell>
          <cell r="F1055">
            <v>3.78282015105119E-6</v>
          </cell>
          <cell r="G1055">
            <v>7.4614698793480705E-2</v>
          </cell>
          <cell r="H1055">
            <v>0.23554403236228</v>
          </cell>
          <cell r="I1055">
            <v>0.42519527923898498</v>
          </cell>
        </row>
        <row r="1056">
          <cell r="A1056" t="str">
            <v>RHSA-WHSOLBR</v>
          </cell>
          <cell r="B1056" t="str">
            <v>VAR_cap</v>
          </cell>
          <cell r="C1056" t="str">
            <v>-</v>
          </cell>
          <cell r="D1056">
            <v>0.25000991745774798</v>
          </cell>
          <cell r="E1056">
            <v>0.33413243865971481</v>
          </cell>
          <cell r="F1056">
            <v>0.33413308730474833</v>
          </cell>
          <cell r="G1056">
            <v>0.40874872436978654</v>
          </cell>
          <cell r="H1056">
            <v>0.57771898023194135</v>
          </cell>
          <cell r="I1056">
            <v>0.71931913457427099</v>
          </cell>
        </row>
        <row r="1057">
          <cell r="A1057" t="str">
            <v>SCOM-SHCONBR</v>
          </cell>
          <cell r="B1057" t="str">
            <v>VAR_ncap</v>
          </cell>
          <cell r="C1057" t="str">
            <v>-</v>
          </cell>
          <cell r="D1057">
            <v>4.9860170335400601E-8</v>
          </cell>
          <cell r="E1057">
            <v>5.2609825338792598E-8</v>
          </cell>
          <cell r="F1057">
            <v>4.8502132350676599E-8</v>
          </cell>
          <cell r="G1057">
            <v>4.7922929679273697E-8</v>
          </cell>
          <cell r="H1057">
            <v>3.3854755777281598E-7</v>
          </cell>
          <cell r="I1057">
            <v>4.8602260925407605E-7</v>
          </cell>
        </row>
        <row r="1058">
          <cell r="A1058" t="str">
            <v>SCOM-SHCONBR</v>
          </cell>
          <cell r="B1058" t="str">
            <v>VAR_cap</v>
          </cell>
          <cell r="C1058" t="str">
            <v>-</v>
          </cell>
          <cell r="D1058">
            <v>4.9860170335400601E-8</v>
          </cell>
          <cell r="E1058">
            <v>4.70552060811918E-8</v>
          </cell>
          <cell r="F1058">
            <v>4.696071737379E-8</v>
          </cell>
          <cell r="G1058">
            <v>4.3041736292854009E-8</v>
          </cell>
          <cell r="H1058">
            <v>1.6461312290221941E-6</v>
          </cell>
          <cell r="I1058">
            <v>2.2892125754728511E-6</v>
          </cell>
        </row>
        <row r="1059">
          <cell r="A1059" t="str">
            <v>RHNM-SHNGABR</v>
          </cell>
          <cell r="B1059" t="str">
            <v>VAR_fout</v>
          </cell>
          <cell r="C1059" t="str">
            <v>CO2_R</v>
          </cell>
          <cell r="E1059">
            <v>43.099689836751701</v>
          </cell>
          <cell r="F1059">
            <v>0.738487129376871</v>
          </cell>
          <cell r="G1059">
            <v>0.97085402896712303</v>
          </cell>
        </row>
        <row r="1060">
          <cell r="A1060" t="str">
            <v>RHNM-SHNGABR</v>
          </cell>
          <cell r="B1060" t="str">
            <v>VAR_fout</v>
          </cell>
          <cell r="C1060" t="str">
            <v>RHNM-SHNGA</v>
          </cell>
          <cell r="E1060">
            <v>0.72596995292400945</v>
          </cell>
          <cell r="F1060">
            <v>1.2570036948577425E-2</v>
          </cell>
          <cell r="G1060">
            <v>1.6525231829144216E-2</v>
          </cell>
        </row>
        <row r="1061">
          <cell r="A1061" t="str">
            <v>RHNM-SHNGABR</v>
          </cell>
          <cell r="B1061" t="str">
            <v>VAR_fin</v>
          </cell>
          <cell r="C1061" t="str">
            <v>RNGA</v>
          </cell>
          <cell r="E1061">
            <v>0.76417889781474679</v>
          </cell>
          <cell r="F1061">
            <v>1.3093743428667926E-2</v>
          </cell>
          <cell r="G1061">
            <v>1.7213723917856784E-2</v>
          </cell>
        </row>
        <row r="1062">
          <cell r="A1062" t="str">
            <v>RHNM-SHNGABR</v>
          </cell>
          <cell r="B1062" t="str">
            <v>VAR_ncap</v>
          </cell>
          <cell r="C1062" t="str">
            <v>-</v>
          </cell>
          <cell r="E1062">
            <v>5.6450639241240698E-2</v>
          </cell>
          <cell r="F1062">
            <v>1.54047410568051E-6</v>
          </cell>
          <cell r="G1062">
            <v>1.4487814598014901E-6</v>
          </cell>
          <cell r="H1062">
            <v>1.30678037811841E-6</v>
          </cell>
          <cell r="I1062">
            <v>1.01175177969928E-6</v>
          </cell>
        </row>
        <row r="1063">
          <cell r="A1063" t="str">
            <v>RHNM-SHNGABR</v>
          </cell>
          <cell r="B1063" t="str">
            <v>VAR_cap</v>
          </cell>
          <cell r="C1063" t="str">
            <v>-</v>
          </cell>
          <cell r="E1063">
            <v>5.6450639241240698E-2</v>
          </cell>
          <cell r="F1063">
            <v>9.3835426147391987E-3</v>
          </cell>
          <cell r="G1063">
            <v>7.8100286314453024E-3</v>
          </cell>
          <cell r="H1063">
            <v>4.2602773364896058E-7</v>
          </cell>
          <cell r="I1063">
            <v>-3.3619509755149993E-7</v>
          </cell>
        </row>
        <row r="1064">
          <cell r="A1064" t="str">
            <v>RHES-SHSOLBR</v>
          </cell>
          <cell r="B1064" t="str">
            <v>VAR_fout</v>
          </cell>
          <cell r="C1064" t="str">
            <v>RHES-SHASOL</v>
          </cell>
          <cell r="D1064">
            <v>0.37732610756439694</v>
          </cell>
          <cell r="E1064">
            <v>0.43549929788278263</v>
          </cell>
          <cell r="F1064">
            <v>2.4706679626647587E-2</v>
          </cell>
          <cell r="G1064">
            <v>3.0764829733770243E-2</v>
          </cell>
          <cell r="H1064">
            <v>3.2806867828531684E-2</v>
          </cell>
          <cell r="I1064">
            <v>3.1607232596378765E-2</v>
          </cell>
        </row>
        <row r="1065">
          <cell r="A1065" t="str">
            <v>RHES-SHSOLBR</v>
          </cell>
          <cell r="B1065" t="str">
            <v>VAR_fin</v>
          </cell>
          <cell r="C1065" t="str">
            <v>SOL</v>
          </cell>
          <cell r="D1065">
            <v>0.37732610756439694</v>
          </cell>
          <cell r="E1065">
            <v>0.43549929788278263</v>
          </cell>
          <cell r="F1065">
            <v>2.4706679626647587E-2</v>
          </cell>
          <cell r="G1065">
            <v>3.0764829733770243E-2</v>
          </cell>
          <cell r="H1065">
            <v>3.2806867828531684E-2</v>
          </cell>
          <cell r="I1065">
            <v>3.1607232596378765E-2</v>
          </cell>
        </row>
        <row r="1066">
          <cell r="A1066" t="str">
            <v>RHES-SHSOLBR</v>
          </cell>
          <cell r="B1066" t="str">
            <v>VAR_ncap</v>
          </cell>
          <cell r="C1066" t="str">
            <v>-</v>
          </cell>
          <cell r="E1066">
            <v>8.4668131776984498E-3</v>
          </cell>
          <cell r="F1066">
            <v>5.98404164265877E-7</v>
          </cell>
          <cell r="G1066">
            <v>1.0062828636555201E-6</v>
          </cell>
          <cell r="H1066">
            <v>4.8643039460745203E-3</v>
          </cell>
          <cell r="I1066">
            <v>1.2551377828189101E-3</v>
          </cell>
        </row>
        <row r="1067">
          <cell r="A1067" t="str">
            <v>RHES-SHSOLBR</v>
          </cell>
          <cell r="B1067" t="str">
            <v>VAR_cap</v>
          </cell>
          <cell r="C1067" t="str">
            <v>-</v>
          </cell>
          <cell r="D1067">
            <v>5.4798678617278197E-2</v>
          </cell>
          <cell r="E1067">
            <v>6.3265311824844975E-2</v>
          </cell>
          <cell r="F1067">
            <v>6.32620240412234E-2</v>
          </cell>
          <cell r="G1067">
            <v>6.3260260785619027E-2</v>
          </cell>
          <cell r="H1067">
            <v>4.867375449518996E-3</v>
          </cell>
          <cell r="I1067">
            <v>4.786250508443027E-3</v>
          </cell>
        </row>
        <row r="1068">
          <cell r="A1068" t="str">
            <v>SCOM-SHSOLBR</v>
          </cell>
          <cell r="B1068" t="str">
            <v>VAR_fout</v>
          </cell>
          <cell r="C1068" t="str">
            <v>SCOM-SHASOL</v>
          </cell>
          <cell r="D1068">
            <v>0.62701647637536329</v>
          </cell>
          <cell r="E1068">
            <v>0.68737308408018438</v>
          </cell>
          <cell r="F1068">
            <v>0.57113411202511877</v>
          </cell>
          <cell r="G1068">
            <v>0.8182813185024822</v>
          </cell>
          <cell r="H1068">
            <v>1.1490423746646188</v>
          </cell>
          <cell r="I1068">
            <v>1.2626302687544646</v>
          </cell>
        </row>
        <row r="1069">
          <cell r="A1069" t="str">
            <v>SCOM-SHSOLBR</v>
          </cell>
          <cell r="B1069" t="str">
            <v>VAR_fin</v>
          </cell>
          <cell r="C1069" t="str">
            <v>SOL</v>
          </cell>
          <cell r="D1069">
            <v>0.62701647637536329</v>
          </cell>
          <cell r="E1069">
            <v>0.68737308408018438</v>
          </cell>
          <cell r="F1069">
            <v>0.57113411202511877</v>
          </cell>
          <cell r="G1069">
            <v>0.8182813185024822</v>
          </cell>
          <cell r="H1069">
            <v>1.1490423746646188</v>
          </cell>
          <cell r="I1069">
            <v>1.2626302687544646</v>
          </cell>
        </row>
        <row r="1070">
          <cell r="A1070" t="str">
            <v>SCOM-SHSOLBR</v>
          </cell>
          <cell r="B1070" t="str">
            <v>VAR_ncap</v>
          </cell>
          <cell r="C1070" t="str">
            <v>-</v>
          </cell>
          <cell r="D1070">
            <v>3.4793872888771203E-5</v>
          </cell>
          <cell r="E1070">
            <v>8.7933179737408693E-3</v>
          </cell>
          <cell r="F1070">
            <v>4.3721267154650004E-6</v>
          </cell>
          <cell r="G1070">
            <v>2.0084414912599199E-2</v>
          </cell>
          <cell r="H1070">
            <v>6.2266134069721701E-2</v>
          </cell>
          <cell r="I1070">
            <v>0.13238732084034399</v>
          </cell>
        </row>
        <row r="1071">
          <cell r="A1071" t="str">
            <v>SCOM-SHSOLBR</v>
          </cell>
          <cell r="B1071" t="str">
            <v>VAR_cap</v>
          </cell>
          <cell r="C1071" t="str">
            <v>-</v>
          </cell>
          <cell r="D1071">
            <v>9.1092387348968268E-2</v>
          </cell>
          <cell r="E1071">
            <v>9.9885380021564787E-2</v>
          </cell>
          <cell r="F1071">
            <v>9.9886728457031698E-2</v>
          </cell>
          <cell r="G1071">
            <v>0.11997219371440282</v>
          </cell>
          <cell r="H1071">
            <v>0.16872270120717997</v>
          </cell>
          <cell r="I1071">
            <v>0.2168036745333777</v>
          </cell>
        </row>
        <row r="1072">
          <cell r="A1072" t="str">
            <v>RHEM-SHSTG-ELCHP</v>
          </cell>
          <cell r="B1072" t="str">
            <v>VAR_fout</v>
          </cell>
          <cell r="C1072" t="str">
            <v>RHEM-SHAELCH</v>
          </cell>
          <cell r="D1072">
            <v>3.7885710161039897E-6</v>
          </cell>
          <cell r="E1072">
            <v>6.112879709850064E-6</v>
          </cell>
          <cell r="F1072">
            <v>0.96992837516726604</v>
          </cell>
          <cell r="G1072">
            <v>1.5382839104418002</v>
          </cell>
          <cell r="H1072">
            <v>1.3792409854173164</v>
          </cell>
          <cell r="I1072">
            <v>2.1202862089944037</v>
          </cell>
        </row>
        <row r="1073">
          <cell r="A1073" t="str">
            <v>RHEM-SHSTG-ELCHP</v>
          </cell>
          <cell r="B1073" t="str">
            <v>VAR_fin</v>
          </cell>
          <cell r="C1073" t="str">
            <v>RHEM-SHAELCH</v>
          </cell>
          <cell r="D1073">
            <v>7.0166731015876011E-5</v>
          </cell>
          <cell r="E1073">
            <v>4.4055239026236132E-5</v>
          </cell>
          <cell r="F1073">
            <v>0.96995619808619127</v>
          </cell>
          <cell r="G1073">
            <v>1.5383316154507036</v>
          </cell>
          <cell r="H1073">
            <v>1.3793078277042667</v>
          </cell>
          <cell r="I1073">
            <v>2.1203606060536515</v>
          </cell>
        </row>
        <row r="1074">
          <cell r="A1074" t="str">
            <v>RHEM-SHSTG-ELCHP</v>
          </cell>
          <cell r="B1074" t="str">
            <v>VAR_ncap</v>
          </cell>
          <cell r="C1074" t="str">
            <v>-</v>
          </cell>
          <cell r="D1074">
            <v>1.7899120904491E-2</v>
          </cell>
          <cell r="E1074">
            <v>0.17584650612337499</v>
          </cell>
          <cell r="F1074">
            <v>1.3721836780869299E-4</v>
          </cell>
          <cell r="G1074">
            <v>0.122925589000816</v>
          </cell>
          <cell r="H1074">
            <v>0.21411736927414601</v>
          </cell>
          <cell r="I1074">
            <v>0.190022973491727</v>
          </cell>
        </row>
        <row r="1075">
          <cell r="A1075" t="str">
            <v>RHEM-SHSTG-ELCHP</v>
          </cell>
          <cell r="B1075" t="str">
            <v>VAR_cap</v>
          </cell>
          <cell r="C1075" t="str">
            <v>-</v>
          </cell>
          <cell r="D1075">
            <v>1.7899120904491E-2</v>
          </cell>
          <cell r="E1075">
            <v>0.19365049071925311</v>
          </cell>
          <cell r="F1075">
            <v>0.19365250185321495</v>
          </cell>
          <cell r="G1075">
            <v>0.31653127998269082</v>
          </cell>
          <cell r="H1075">
            <v>0.45952676349320404</v>
          </cell>
          <cell r="I1075">
            <v>0.41362804329453584</v>
          </cell>
        </row>
        <row r="1076">
          <cell r="A1076" t="str">
            <v>ITOT-SWHELCBR</v>
          </cell>
          <cell r="B1076" t="str">
            <v>VAR_fout</v>
          </cell>
          <cell r="C1076" t="str">
            <v>ITOT-SWHAELC</v>
          </cell>
          <cell r="D1076">
            <v>9.8139484684033409</v>
          </cell>
          <cell r="E1076">
            <v>10.335097277068554</v>
          </cell>
          <cell r="F1076">
            <v>10.33508567887772</v>
          </cell>
          <cell r="G1076">
            <v>10.335087010165942</v>
          </cell>
          <cell r="H1076">
            <v>10.335082862178284</v>
          </cell>
          <cell r="I1076">
            <v>10.335078867270193</v>
          </cell>
        </row>
        <row r="1077">
          <cell r="A1077" t="str">
            <v>ITOT-SWHELCBR</v>
          </cell>
          <cell r="B1077" t="str">
            <v>VAR_fin</v>
          </cell>
          <cell r="C1077" t="str">
            <v>ITOT_ELC</v>
          </cell>
          <cell r="D1077">
            <v>11.647007787688896</v>
          </cell>
          <cell r="E1077">
            <v>12.258994950336902</v>
          </cell>
          <cell r="F1077">
            <v>12.249240591233461</v>
          </cell>
          <cell r="G1077">
            <v>12.233042183148591</v>
          </cell>
          <cell r="H1077">
            <v>12.20076552513391</v>
          </cell>
          <cell r="I1077">
            <v>12.168658896185446</v>
          </cell>
        </row>
        <row r="1078">
          <cell r="A1078" t="str">
            <v>ITOT-SWHELCBR</v>
          </cell>
          <cell r="B1078" t="str">
            <v>VAR_ncap</v>
          </cell>
          <cell r="C1078" t="str">
            <v>-</v>
          </cell>
          <cell r="E1078">
            <v>0.14716758467116001</v>
          </cell>
          <cell r="F1078">
            <v>2.1902128200897801E-4</v>
          </cell>
          <cell r="G1078">
            <v>4.6114268769016104E-3</v>
          </cell>
          <cell r="H1078">
            <v>0.49388958204712602</v>
          </cell>
          <cell r="I1078">
            <v>0.49196716132342999</v>
          </cell>
        </row>
        <row r="1079">
          <cell r="A1079" t="str">
            <v>ITOT-SWHELCBR</v>
          </cell>
          <cell r="B1079" t="str">
            <v>VAR_cap</v>
          </cell>
          <cell r="C1079" t="str">
            <v>-</v>
          </cell>
          <cell r="D1079">
            <v>0.55644997413134401</v>
          </cell>
          <cell r="E1079">
            <v>0.70360685891160168</v>
          </cell>
          <cell r="F1079">
            <v>0.70379182411739272</v>
          </cell>
          <cell r="G1079">
            <v>0.70835111529438188</v>
          </cell>
          <cell r="H1079">
            <v>1.0459523108418951</v>
          </cell>
          <cell r="I1079">
            <v>1.0825660821089274</v>
          </cell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I4">
            <v>281.14131521852693</v>
          </cell>
          <cell r="J4">
            <v>393.42930924456118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I5">
            <v>43.398388438210866</v>
          </cell>
          <cell r="J5">
            <v>16.652621011590195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I6">
            <v>237.37930024193435</v>
          </cell>
          <cell r="J6">
            <v>34.041809100619346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I7">
            <v>0.36362653838187931</v>
          </cell>
          <cell r="J7">
            <v>342.73487913235113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161.73913059781179</v>
          </cell>
          <cell r="I8">
            <v>-1892.0306652783531</v>
          </cell>
          <cell r="J8">
            <v>-41.604980555583097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I9">
            <v>8.1528352590009151E-2</v>
          </cell>
          <cell r="J9">
            <v>1152.3361505423268</v>
          </cell>
        </row>
        <row r="10">
          <cell r="B10" t="str">
            <v>CO2_O</v>
          </cell>
          <cell r="C10" t="str">
            <v>VAR_fout</v>
          </cell>
          <cell r="D10" t="str">
            <v>ENGA-CCS</v>
          </cell>
          <cell r="I10">
            <v>3.7439220534547152E-2</v>
          </cell>
          <cell r="J10">
            <v>62.386123804942677</v>
          </cell>
        </row>
        <row r="11">
          <cell r="B11" t="str">
            <v>CO2_O</v>
          </cell>
          <cell r="C11" t="str">
            <v>VAR_fout</v>
          </cell>
          <cell r="D11" t="str">
            <v>CHPWSTCCS</v>
          </cell>
          <cell r="I11">
            <v>8.0011803040532445E-2</v>
          </cell>
          <cell r="J11">
            <v>1099.4994329312917</v>
          </cell>
        </row>
        <row r="12">
          <cell r="B12" t="str">
            <v>CO2_O</v>
          </cell>
          <cell r="C12" t="str">
            <v>VAR_fout</v>
          </cell>
          <cell r="D12" t="str">
            <v>ITOT-CHPWSTCCS</v>
          </cell>
          <cell r="I12">
            <v>3.4905463020559274E-2</v>
          </cell>
          <cell r="J12">
            <v>722.30819391589989</v>
          </cell>
        </row>
        <row r="13">
          <cell r="B13" t="str">
            <v>CO2_O</v>
          </cell>
          <cell r="C13" t="str">
            <v>VAR_fout</v>
          </cell>
          <cell r="D13" t="str">
            <v>ITOT-CHPNGACCS</v>
          </cell>
          <cell r="I13">
            <v>4.7855551046271191E-2</v>
          </cell>
          <cell r="J13">
            <v>8.0504061188859458E-2</v>
          </cell>
        </row>
        <row r="14">
          <cell r="B14" t="str">
            <v>CO2_O</v>
          </cell>
          <cell r="C14" t="str">
            <v>VAR_fout</v>
          </cell>
          <cell r="D14" t="str">
            <v>SUP_WSTHTGBIOCCS</v>
          </cell>
          <cell r="I14">
            <v>4.046783294333103E-3</v>
          </cell>
          <cell r="J14">
            <v>4.5526899524344451</v>
          </cell>
        </row>
        <row r="15">
          <cell r="B15" t="str">
            <v>CO2_O</v>
          </cell>
          <cell r="C15" t="str">
            <v>VAR_fout</v>
          </cell>
          <cell r="D15" t="str">
            <v>ITOT-CHPWODCCS</v>
          </cell>
          <cell r="I15">
            <v>280.86856081131464</v>
          </cell>
          <cell r="J15">
            <v>653.39047147396991</v>
          </cell>
        </row>
        <row r="16">
          <cell r="B16" t="str">
            <v>CO2_O</v>
          </cell>
          <cell r="C16" t="str">
            <v>VAR_fout</v>
          </cell>
          <cell r="D16" t="str">
            <v>EWOD-CCS</v>
          </cell>
          <cell r="I16">
            <v>3.9635888887465609E-2</v>
          </cell>
          <cell r="J16">
            <v>301.2381542314339</v>
          </cell>
        </row>
        <row r="17">
          <cell r="B17" t="str">
            <v>CO2_O</v>
          </cell>
          <cell r="C17" t="str">
            <v>VAR_fout</v>
          </cell>
          <cell r="D17" t="str">
            <v>ITOT-PROCESSCO2CCS</v>
          </cell>
          <cell r="I17">
            <v>6.1222863012156559E-3</v>
          </cell>
          <cell r="J17">
            <v>773.51057987077559</v>
          </cell>
        </row>
        <row r="18">
          <cell r="B18" t="str">
            <v>CO2_O</v>
          </cell>
          <cell r="C18" t="str">
            <v>VAR_fout</v>
          </cell>
          <cell r="D18" t="str">
            <v>SUP_WODH2CCS</v>
          </cell>
          <cell r="J18">
            <v>844.64985796295468</v>
          </cell>
        </row>
        <row r="19">
          <cell r="B19" t="str">
            <v>CO2_O</v>
          </cell>
          <cell r="C19" t="str">
            <v>VAR_fout</v>
          </cell>
          <cell r="D19" t="str">
            <v>SUP_WODBIOCCS</v>
          </cell>
          <cell r="I19">
            <v>1.7489488463811553E-2</v>
          </cell>
          <cell r="J19">
            <v>27.521561285552231</v>
          </cell>
        </row>
        <row r="20">
          <cell r="B20" t="str">
            <v>CO2_O</v>
          </cell>
          <cell r="C20" t="str">
            <v>VAR_fout</v>
          </cell>
          <cell r="D20" t="str">
            <v>SUP_NGAH2CCS</v>
          </cell>
          <cell r="J20">
            <v>2.6188096920448682E-3</v>
          </cell>
        </row>
        <row r="21">
          <cell r="B21" t="str">
            <v>CO2_O</v>
          </cell>
          <cell r="C21" t="str">
            <v>VAR_fout</v>
          </cell>
          <cell r="D21" t="str">
            <v>CT_CWODETHCCS</v>
          </cell>
          <cell r="I21">
            <v>3.9650743890769886E-4</v>
          </cell>
          <cell r="J21">
            <v>1.6525682290281982E-4</v>
          </cell>
        </row>
        <row r="22">
          <cell r="B22" t="str">
            <v>CO2_O</v>
          </cell>
          <cell r="C22" t="str">
            <v>VAR_fout</v>
          </cell>
          <cell r="D22" t="str">
            <v>SUP_DAC</v>
          </cell>
          <cell r="I22">
            <v>1.9210195111377031E-3</v>
          </cell>
          <cell r="J22">
            <v>5.9423579808010656E-2</v>
          </cell>
        </row>
        <row r="23">
          <cell r="B23" t="str">
            <v>CO2_O</v>
          </cell>
          <cell r="C23" t="str">
            <v>VAR_fout</v>
          </cell>
          <cell r="D23" t="str">
            <v>CT_CWODBDSCCS</v>
          </cell>
          <cell r="I23">
            <v>6.6873267533560281E-3</v>
          </cell>
          <cell r="J23">
            <v>49.939100135273691</v>
          </cell>
        </row>
        <row r="24">
          <cell r="B24" t="str">
            <v>CO2_O</v>
          </cell>
          <cell r="C24" t="str">
            <v>VAR_fin</v>
          </cell>
          <cell r="D24" t="str">
            <v>D-CO2_O</v>
          </cell>
          <cell r="I24">
            <v>281.14131521852693</v>
          </cell>
          <cell r="J24">
            <v>5691.3881145122978</v>
          </cell>
        </row>
        <row r="25">
          <cell r="B25" t="str">
            <v>CO2_O</v>
          </cell>
          <cell r="C25" t="str">
            <v>EQ_combalM</v>
          </cell>
          <cell r="D25" t="str">
            <v>-</v>
          </cell>
          <cell r="H25">
            <v>161.73913059781179</v>
          </cell>
          <cell r="I25">
            <v>-1893.6221754043829</v>
          </cell>
          <cell r="J25">
            <v>-43.965163337951985</v>
          </cell>
        </row>
        <row r="26">
          <cell r="B26" t="str">
            <v>CO2_Q</v>
          </cell>
          <cell r="C26" t="str">
            <v>EQ_combalM</v>
          </cell>
          <cell r="D26" t="str">
            <v>-</v>
          </cell>
          <cell r="I26">
            <v>-1892.0306652783531</v>
          </cell>
          <cell r="J26">
            <v>-75.444311865424211</v>
          </cell>
        </row>
        <row r="27">
          <cell r="B27" t="str">
            <v>CO2_R</v>
          </cell>
          <cell r="C27" t="str">
            <v>VAR_fout</v>
          </cell>
          <cell r="D27" t="str">
            <v>RHNM-SHLFOBR</v>
          </cell>
          <cell r="F27">
            <v>1.62283688302861E-3</v>
          </cell>
          <cell r="G27">
            <v>9.0147768960610293</v>
          </cell>
          <cell r="H27">
            <v>9.2875376969198804</v>
          </cell>
          <cell r="I27">
            <v>4.10460686836376</v>
          </cell>
        </row>
        <row r="28">
          <cell r="B28" t="str">
            <v>CO2_R</v>
          </cell>
          <cell r="C28" t="str">
            <v>VAR_fout</v>
          </cell>
          <cell r="D28" t="str">
            <v>RHNS-SHNGAHP</v>
          </cell>
          <cell r="G28">
            <v>5.5876893283109004</v>
          </cell>
          <cell r="H28">
            <v>17.086314241145399</v>
          </cell>
          <cell r="I28">
            <v>25.2766814569746</v>
          </cell>
          <cell r="J28">
            <v>24.6766632116558</v>
          </cell>
        </row>
        <row r="29">
          <cell r="B29" t="str">
            <v>CO2_R</v>
          </cell>
          <cell r="C29" t="str">
            <v>VAR_fout</v>
          </cell>
          <cell r="D29" t="str">
            <v>RHNS-CHPGFC</v>
          </cell>
          <cell r="H29">
            <v>5.3290523732267003E-2</v>
          </cell>
          <cell r="I29">
            <v>0.12004968071318101</v>
          </cell>
          <cell r="J29">
            <v>1.59841203376252E-2</v>
          </cell>
        </row>
        <row r="30">
          <cell r="B30" t="str">
            <v>CO2_R</v>
          </cell>
          <cell r="C30" t="str">
            <v>VAR_fout</v>
          </cell>
          <cell r="D30" t="str">
            <v>RHES-CHPNGA</v>
          </cell>
          <cell r="E30">
            <v>5.3664365133779803</v>
          </cell>
          <cell r="F30">
            <v>0.27453816128700498</v>
          </cell>
          <cell r="G30">
            <v>1.12691093107785</v>
          </cell>
          <cell r="H30">
            <v>1.1994414589962901</v>
          </cell>
          <cell r="I30">
            <v>0.44077243805181698</v>
          </cell>
          <cell r="J30">
            <v>1.3902238815554401E-2</v>
          </cell>
        </row>
        <row r="31">
          <cell r="B31" t="str">
            <v>CO2_R</v>
          </cell>
          <cell r="C31" t="str">
            <v>VAR_fout</v>
          </cell>
          <cell r="D31" t="str">
            <v>RHEM-CHPGFC</v>
          </cell>
          <cell r="H31">
            <v>0.28833205379856902</v>
          </cell>
          <cell r="I31">
            <v>71.208539207611295</v>
          </cell>
          <cell r="J31">
            <v>1.8951042510271101E-2</v>
          </cell>
        </row>
        <row r="32">
          <cell r="B32" t="str">
            <v>CO2_R</v>
          </cell>
          <cell r="C32" t="str">
            <v>VAR_fout</v>
          </cell>
          <cell r="D32" t="str">
            <v>RHEM-SHNGABR</v>
          </cell>
          <cell r="E32">
            <v>1127.9641705055201</v>
          </cell>
          <cell r="F32">
            <v>1213.943983523</v>
          </cell>
          <cell r="G32">
            <v>1255.52279764539</v>
          </cell>
          <cell r="H32">
            <v>810.62562004259303</v>
          </cell>
          <cell r="I32">
            <v>116.174474962009</v>
          </cell>
          <cell r="J32">
            <v>40.669617643765697</v>
          </cell>
        </row>
        <row r="33">
          <cell r="B33" t="str">
            <v>CO2_R</v>
          </cell>
          <cell r="C33" t="str">
            <v>VAR_fout</v>
          </cell>
          <cell r="D33" t="str">
            <v>RHSA-WHNGAHP</v>
          </cell>
          <cell r="G33">
            <v>27.684992726649501</v>
          </cell>
          <cell r="H33">
            <v>50.5844244660044</v>
          </cell>
          <cell r="I33">
            <v>75.607768408967999</v>
          </cell>
          <cell r="J33">
            <v>59.815406496799802</v>
          </cell>
        </row>
        <row r="34">
          <cell r="B34" t="str">
            <v>CO2_R</v>
          </cell>
          <cell r="C34" t="str">
            <v>VAR_fout</v>
          </cell>
          <cell r="D34" t="str">
            <v>RHEM-SHLFOBR</v>
          </cell>
          <cell r="E34">
            <v>1928.7134487626299</v>
          </cell>
          <cell r="F34">
            <v>1544.3127115945699</v>
          </cell>
          <cell r="G34">
            <v>1694.91650379521</v>
          </cell>
          <cell r="H34">
            <v>790.62725555720101</v>
          </cell>
          <cell r="I34">
            <v>114.57294587568001</v>
          </cell>
          <cell r="J34">
            <v>6.0687130273478198</v>
          </cell>
        </row>
        <row r="35">
          <cell r="B35" t="str">
            <v>CO2_R</v>
          </cell>
          <cell r="C35" t="str">
            <v>VAR_fout</v>
          </cell>
          <cell r="D35" t="str">
            <v>RHES-SHNGAHP</v>
          </cell>
          <cell r="G35">
            <v>51.033934005612799</v>
          </cell>
          <cell r="H35">
            <v>48.479622761360602</v>
          </cell>
          <cell r="I35">
            <v>38.238770523191803</v>
          </cell>
          <cell r="J35">
            <v>25.548639377334901</v>
          </cell>
        </row>
        <row r="36">
          <cell r="B36" t="str">
            <v>CO2_R</v>
          </cell>
          <cell r="C36" t="str">
            <v>VAR_fout</v>
          </cell>
          <cell r="D36" t="str">
            <v>RHNS-SHNGABR</v>
          </cell>
          <cell r="F36">
            <v>6.0651336441335797</v>
          </cell>
          <cell r="G36">
            <v>1.56208239014786</v>
          </cell>
          <cell r="H36">
            <v>1.99051024748892</v>
          </cell>
          <cell r="I36">
            <v>2.1852948336384599</v>
          </cell>
          <cell r="J36">
            <v>1.53181342529111</v>
          </cell>
        </row>
        <row r="37">
          <cell r="B37" t="str">
            <v>CO2_R</v>
          </cell>
          <cell r="C37" t="str">
            <v>VAR_fout</v>
          </cell>
          <cell r="D37" t="str">
            <v>RHNS-SHLFOBR</v>
          </cell>
          <cell r="F37">
            <v>2.4376704357971799E-3</v>
          </cell>
          <cell r="G37">
            <v>2.3607848440278798</v>
          </cell>
          <cell r="H37">
            <v>2.6233927245950599</v>
          </cell>
          <cell r="I37">
            <v>1.76266320208629</v>
          </cell>
        </row>
        <row r="38">
          <cell r="B38" t="str">
            <v>CO2_R</v>
          </cell>
          <cell r="C38" t="str">
            <v>VAR_fout</v>
          </cell>
          <cell r="D38" t="str">
            <v>RHES-CHPGFC</v>
          </cell>
          <cell r="H38">
            <v>5.26936400617595E-2</v>
          </cell>
          <cell r="I38">
            <v>0.11917738367110001</v>
          </cell>
          <cell r="J38">
            <v>1.6016292044264201E-2</v>
          </cell>
        </row>
        <row r="39">
          <cell r="B39" t="str">
            <v>CO2_R</v>
          </cell>
          <cell r="C39" t="str">
            <v>VAR_fout</v>
          </cell>
          <cell r="D39" t="str">
            <v>RHNM-CHPNGA</v>
          </cell>
          <cell r="F39">
            <v>0.238526734166847</v>
          </cell>
          <cell r="G39">
            <v>1.6006189497993299</v>
          </cell>
          <cell r="H39">
            <v>161.31454543947899</v>
          </cell>
          <cell r="I39">
            <v>100.81789606546501</v>
          </cell>
          <cell r="J39">
            <v>1.41200939869603E-2</v>
          </cell>
        </row>
        <row r="40">
          <cell r="B40" t="str">
            <v>CO2_R</v>
          </cell>
          <cell r="C40" t="str">
            <v>VAR_fout</v>
          </cell>
          <cell r="D40" t="str">
            <v>RHNM-SHNGAHP</v>
          </cell>
          <cell r="G40">
            <v>8.8789643011229806</v>
          </cell>
          <cell r="H40">
            <v>20.0306871093334</v>
          </cell>
          <cell r="I40">
            <v>28.776673580627701</v>
          </cell>
          <cell r="J40">
            <v>26.858815980022399</v>
          </cell>
        </row>
        <row r="41">
          <cell r="B41" t="str">
            <v>CO2_R</v>
          </cell>
          <cell r="C41" t="str">
            <v>VAR_fout</v>
          </cell>
          <cell r="D41" t="str">
            <v>RHES-SHNGABR</v>
          </cell>
          <cell r="E41">
            <v>1043.13615489886</v>
          </cell>
          <cell r="F41">
            <v>1044.9061143495501</v>
          </cell>
          <cell r="G41">
            <v>639.99940425230704</v>
          </cell>
          <cell r="H41">
            <v>411.292693816064</v>
          </cell>
          <cell r="I41">
            <v>98.090140953256807</v>
          </cell>
          <cell r="J41">
            <v>42.605463854671598</v>
          </cell>
        </row>
        <row r="42">
          <cell r="B42" t="str">
            <v>CO2_R</v>
          </cell>
          <cell r="C42" t="str">
            <v>VAR_fout</v>
          </cell>
          <cell r="D42" t="str">
            <v>RHSA-WHNGABR</v>
          </cell>
          <cell r="E42">
            <v>479.81145076207702</v>
          </cell>
          <cell r="F42">
            <v>414.47175714781201</v>
          </cell>
          <cell r="G42">
            <v>543.94433326496903</v>
          </cell>
          <cell r="H42">
            <v>298.421938731529</v>
          </cell>
          <cell r="I42">
            <v>78.891206171441098</v>
          </cell>
          <cell r="J42">
            <v>34.308200604391097</v>
          </cell>
        </row>
        <row r="43">
          <cell r="B43" t="str">
            <v>CO2_R</v>
          </cell>
          <cell r="C43" t="str">
            <v>VAR_fout</v>
          </cell>
          <cell r="D43" t="str">
            <v>RHSA-WHLFOBR</v>
          </cell>
          <cell r="E43">
            <v>726.71442915514206</v>
          </cell>
          <cell r="F43">
            <v>571.56857603205299</v>
          </cell>
          <cell r="G43">
            <v>653.50521980946996</v>
          </cell>
          <cell r="H43">
            <v>254.51480792943801</v>
          </cell>
          <cell r="I43">
            <v>54.926009995073201</v>
          </cell>
          <cell r="J43">
            <v>1.6227522510180199</v>
          </cell>
        </row>
        <row r="44">
          <cell r="B44" t="str">
            <v>CO2_R</v>
          </cell>
          <cell r="C44" t="str">
            <v>VAR_fout</v>
          </cell>
          <cell r="D44" t="str">
            <v>RHES-SHLFOBR</v>
          </cell>
          <cell r="E44">
            <v>1783.66562942888</v>
          </cell>
          <cell r="F44">
            <v>1640.9703445852799</v>
          </cell>
          <cell r="G44">
            <v>1214.53754586327</v>
          </cell>
          <cell r="H44">
            <v>516.34101074430203</v>
          </cell>
          <cell r="I44">
            <v>58.637881487849</v>
          </cell>
          <cell r="J44">
            <v>3.36474422322275</v>
          </cell>
        </row>
        <row r="45">
          <cell r="B45" t="str">
            <v>CO2_R</v>
          </cell>
          <cell r="C45" t="str">
            <v>VAR_fout</v>
          </cell>
          <cell r="D45" t="str">
            <v>RHNS-CHPNGA</v>
          </cell>
          <cell r="F45">
            <v>8.5155567325816806E-2</v>
          </cell>
          <cell r="G45">
            <v>0.84934783757378196</v>
          </cell>
          <cell r="H45">
            <v>0.81214921858426703</v>
          </cell>
          <cell r="I45">
            <v>0.56328897720764504</v>
          </cell>
          <cell r="J45">
            <v>1.33740628943948E-2</v>
          </cell>
        </row>
        <row r="46">
          <cell r="B46" t="str">
            <v>CO2_R</v>
          </cell>
          <cell r="C46" t="str">
            <v>VAR_fout</v>
          </cell>
          <cell r="D46" t="str">
            <v>RHNM-CHPGFC</v>
          </cell>
          <cell r="H46">
            <v>0.28836611037966597</v>
          </cell>
          <cell r="I46">
            <v>71.219986375463407</v>
          </cell>
          <cell r="J46">
            <v>1.8963699711244002E-2</v>
          </cell>
        </row>
        <row r="47">
          <cell r="B47" t="str">
            <v>CO2_R</v>
          </cell>
          <cell r="C47" t="str">
            <v>VAR_fout</v>
          </cell>
          <cell r="D47" t="str">
            <v>RHEM-CHPNGA</v>
          </cell>
          <cell r="E47">
            <v>7.4690114893525097</v>
          </cell>
          <cell r="F47">
            <v>8.3766448018775599E-2</v>
          </cell>
          <cell r="G47">
            <v>1.60032559922783</v>
          </cell>
          <cell r="H47">
            <v>161.27313689643901</v>
          </cell>
          <cell r="I47">
            <v>100.803062957574</v>
          </cell>
          <cell r="J47">
            <v>1.4694731312358499E-2</v>
          </cell>
        </row>
        <row r="48">
          <cell r="B48" t="str">
            <v>CO2_R</v>
          </cell>
          <cell r="C48" t="str">
            <v>VAR_fout</v>
          </cell>
          <cell r="D48" t="str">
            <v>RHES-SHCOABR</v>
          </cell>
          <cell r="E48">
            <v>9.2711939547168996</v>
          </cell>
          <cell r="F48">
            <v>9.2705897384879403</v>
          </cell>
          <cell r="G48">
            <v>2.44202474489285</v>
          </cell>
        </row>
        <row r="49">
          <cell r="B49" t="str">
            <v>CO2_R</v>
          </cell>
          <cell r="C49" t="str">
            <v>VAR_fout</v>
          </cell>
          <cell r="D49" t="str">
            <v>RHEM-SHNGAHP</v>
          </cell>
          <cell r="G49">
            <v>63.462873214774099</v>
          </cell>
          <cell r="H49">
            <v>111.69796338341899</v>
          </cell>
          <cell r="I49">
            <v>145.63161588997701</v>
          </cell>
          <cell r="J49">
            <v>98.199174495547794</v>
          </cell>
        </row>
        <row r="50">
          <cell r="B50" t="str">
            <v>CO2_R</v>
          </cell>
          <cell r="C50" t="str">
            <v>VAR_fout</v>
          </cell>
          <cell r="D50" t="str">
            <v>RHNM-SHNGABR</v>
          </cell>
          <cell r="F50">
            <v>43.099689836751701</v>
          </cell>
          <cell r="G50">
            <v>0.738487129376871</v>
          </cell>
          <cell r="H50">
            <v>0.97085402896712303</v>
          </cell>
        </row>
        <row r="51">
          <cell r="B51" t="str">
            <v>CO2_R</v>
          </cell>
          <cell r="C51" t="str">
            <v>VAR_comnet</v>
          </cell>
          <cell r="D51" t="str">
            <v>-</v>
          </cell>
          <cell r="E51">
            <v>7112.11192547055</v>
          </cell>
          <cell r="F51">
            <v>6489.2949478697601</v>
          </cell>
          <cell r="G51">
            <v>6180.3696175292798</v>
          </cell>
          <cell r="H51">
            <v>3669.85658882183</v>
          </cell>
          <cell r="I51">
            <v>1188.1695072948901</v>
          </cell>
          <cell r="J51">
            <v>365.39601087268102</v>
          </cell>
        </row>
        <row r="52">
          <cell r="B52" t="str">
            <v>CO2_S</v>
          </cell>
          <cell r="C52" t="str">
            <v>VAR_fout</v>
          </cell>
          <cell r="D52" t="str">
            <v>SCOM-SHNGAHP</v>
          </cell>
          <cell r="G52">
            <v>67.213140867446498</v>
          </cell>
          <cell r="H52">
            <v>114.80435926770799</v>
          </cell>
          <cell r="I52">
            <v>156.52692324232299</v>
          </cell>
          <cell r="J52">
            <v>115.45205538043599</v>
          </cell>
        </row>
        <row r="53">
          <cell r="B53" t="str">
            <v>CO2_S</v>
          </cell>
          <cell r="C53" t="str">
            <v>VAR_fout</v>
          </cell>
          <cell r="D53" t="str">
            <v>SCOM-CHPNGA</v>
          </cell>
          <cell r="E53">
            <v>95.187416469446902</v>
          </cell>
          <cell r="F53">
            <v>98.055709456398105</v>
          </cell>
          <cell r="G53">
            <v>1.8146174589011601</v>
          </cell>
          <cell r="H53">
            <v>1.14509377872276</v>
          </cell>
          <cell r="I53">
            <v>4.8907957296739399E-2</v>
          </cell>
          <cell r="J53">
            <v>4.2509429592509002E-2</v>
          </cell>
        </row>
        <row r="54">
          <cell r="B54" t="str">
            <v>CO2_S</v>
          </cell>
          <cell r="C54" t="str">
            <v>VAR_fout</v>
          </cell>
          <cell r="D54" t="str">
            <v>SCOM-SHNGABR</v>
          </cell>
          <cell r="E54">
            <v>1440.94658339637</v>
          </cell>
          <cell r="F54">
            <v>1508.68843425056</v>
          </cell>
          <cell r="G54">
            <v>1230.4269119066</v>
          </cell>
          <cell r="H54">
            <v>754.342489249393</v>
          </cell>
          <cell r="I54">
            <v>127.727521402039</v>
          </cell>
          <cell r="J54">
            <v>51.658956905746102</v>
          </cell>
        </row>
        <row r="55">
          <cell r="B55" t="str">
            <v>CO2_S</v>
          </cell>
          <cell r="C55" t="str">
            <v>VAR_fout</v>
          </cell>
          <cell r="D55" t="str">
            <v>SCOM-CHPGFC</v>
          </cell>
          <cell r="H55">
            <v>7.2432250597467204E-2</v>
          </cell>
          <cell r="I55">
            <v>0.259146990286655</v>
          </cell>
          <cell r="J55">
            <v>3.7833695373469901E-2</v>
          </cell>
        </row>
        <row r="56">
          <cell r="B56" t="str">
            <v>CO2_S</v>
          </cell>
          <cell r="C56" t="str">
            <v>VAR_fout</v>
          </cell>
          <cell r="D56" t="str">
            <v>SCOM-SHLFOBR</v>
          </cell>
          <cell r="E56">
            <v>2229.9144051685498</v>
          </cell>
          <cell r="F56">
            <v>1725.43334599272</v>
          </cell>
          <cell r="G56">
            <v>1857.30552839038</v>
          </cell>
          <cell r="H56">
            <v>929.16861449087401</v>
          </cell>
          <cell r="I56">
            <v>183.213207106911</v>
          </cell>
          <cell r="J56">
            <v>5.1443823387632897</v>
          </cell>
        </row>
        <row r="57">
          <cell r="B57" t="str">
            <v>CO2_S</v>
          </cell>
          <cell r="C57" t="str">
            <v>VAR_comnet</v>
          </cell>
          <cell r="D57" t="str">
            <v>-</v>
          </cell>
          <cell r="E57">
            <v>3766.0484050343598</v>
          </cell>
          <cell r="F57">
            <v>3332.1774896996799</v>
          </cell>
          <cell r="G57">
            <v>3156.7601986233299</v>
          </cell>
          <cell r="H57">
            <v>1799.5329890373</v>
          </cell>
          <cell r="I57">
            <v>467.77570669885603</v>
          </cell>
          <cell r="J57">
            <v>172.335737749912</v>
          </cell>
        </row>
        <row r="58">
          <cell r="B58" t="str">
            <v>CO2_T</v>
          </cell>
          <cell r="C58" t="str">
            <v>VAR_fout</v>
          </cell>
          <cell r="D58" t="str">
            <v>T_B_u-ICENGAEXT</v>
          </cell>
          <cell r="E58">
            <v>1.77240494780899E-2</v>
          </cell>
          <cell r="F58">
            <v>1.7910814396309899E-2</v>
          </cell>
          <cell r="G58">
            <v>1.7859713391965199E-2</v>
          </cell>
        </row>
        <row r="59">
          <cell r="B59" t="str">
            <v>CO2_T</v>
          </cell>
          <cell r="C59" t="str">
            <v>VAR_fout</v>
          </cell>
          <cell r="D59" t="str">
            <v>TFHGV-ICENGA</v>
          </cell>
          <cell r="E59">
            <v>0.99924864680821801</v>
          </cell>
          <cell r="F59">
            <v>4.3532850672328573E-2</v>
          </cell>
          <cell r="G59">
            <v>5.7294494793094494E-2</v>
          </cell>
          <cell r="H59">
            <v>5.1920394524874229E-2</v>
          </cell>
          <cell r="I59">
            <v>4.0081476681031701E-2</v>
          </cell>
          <cell r="J59">
            <v>3.3025301843385181E-2</v>
          </cell>
        </row>
        <row r="60">
          <cell r="B60" t="str">
            <v>CO2_T</v>
          </cell>
          <cell r="C60" t="str">
            <v>VAR_fout</v>
          </cell>
          <cell r="D60" t="str">
            <v>T-Plg-GSL-mix_S1</v>
          </cell>
          <cell r="E60">
            <v>2.2452796740121201E-2</v>
          </cell>
          <cell r="F60">
            <v>0.10728336521247539</v>
          </cell>
          <cell r="G60">
            <v>0.19489310202562235</v>
          </cell>
          <cell r="H60">
            <v>0.19713136042770291</v>
          </cell>
          <cell r="I60">
            <v>0.10118593078969354</v>
          </cell>
          <cell r="J60">
            <v>2.627327423983767E-2</v>
          </cell>
        </row>
        <row r="61">
          <cell r="B61" t="str">
            <v>CO2_T</v>
          </cell>
          <cell r="C61" t="str">
            <v>VAR_fout</v>
          </cell>
          <cell r="D61" t="str">
            <v>T-Plg-GSL-mix_S2</v>
          </cell>
          <cell r="E61">
            <v>5.4156771548648903</v>
          </cell>
          <cell r="F61">
            <v>12.345971306657141</v>
          </cell>
          <cell r="G61">
            <v>8.9156145207064004</v>
          </cell>
          <cell r="H61">
            <v>6.9324980091220993</v>
          </cell>
          <cell r="I61">
            <v>0.31319789943486326</v>
          </cell>
          <cell r="J61">
            <v>5.4424735540342613E-2</v>
          </cell>
        </row>
        <row r="62">
          <cell r="B62" t="str">
            <v>CO2_T</v>
          </cell>
          <cell r="C62" t="str">
            <v>VAR_fout</v>
          </cell>
          <cell r="D62" t="str">
            <v>T-Plg-GSL-mix_S3</v>
          </cell>
          <cell r="E62">
            <v>5.7871108336525596</v>
          </cell>
          <cell r="F62">
            <v>89.943471177524501</v>
          </cell>
          <cell r="G62">
            <v>129.7926723726907</v>
          </cell>
          <cell r="H62">
            <v>96.350624316494105</v>
          </cell>
          <cell r="I62">
            <v>231.10205625000731</v>
          </cell>
          <cell r="J62">
            <v>35.2102249312928</v>
          </cell>
        </row>
        <row r="63">
          <cell r="B63" t="str">
            <v>CO2_T</v>
          </cell>
          <cell r="C63" t="str">
            <v>VAR_fout</v>
          </cell>
          <cell r="D63" t="str">
            <v>T-Plg-GSL-mix_S4</v>
          </cell>
          <cell r="E63">
            <v>12.2773879350478</v>
          </cell>
          <cell r="F63">
            <v>23.198157752727703</v>
          </cell>
          <cell r="G63">
            <v>22.054109734971039</v>
          </cell>
          <cell r="H63">
            <v>13.642025560054897</v>
          </cell>
          <cell r="I63">
            <v>0.49510130039097688</v>
          </cell>
          <cell r="J63">
            <v>8.0385372909985917E-2</v>
          </cell>
        </row>
        <row r="64">
          <cell r="B64" t="str">
            <v>CO2_T</v>
          </cell>
          <cell r="C64" t="str">
            <v>VAR_fout</v>
          </cell>
          <cell r="D64" t="str">
            <v>TFLGV-HYBDSL</v>
          </cell>
          <cell r="F64">
            <v>32.527017719730097</v>
          </cell>
          <cell r="G64">
            <v>141.10707226033051</v>
          </cell>
          <cell r="H64">
            <v>228.42503125222362</v>
          </cell>
          <cell r="I64">
            <v>77.792444714065766</v>
          </cell>
          <cell r="J64">
            <v>9.8647543502549395E-3</v>
          </cell>
        </row>
        <row r="65">
          <cell r="B65" t="str">
            <v>CO2_T</v>
          </cell>
          <cell r="C65" t="str">
            <v>VAR_fout</v>
          </cell>
          <cell r="D65" t="str">
            <v>TFLGV-ICEGSLExt</v>
          </cell>
          <cell r="E65">
            <v>61.416374909555302</v>
          </cell>
          <cell r="F65">
            <v>137.028665063836</v>
          </cell>
          <cell r="G65">
            <v>40.200122215496002</v>
          </cell>
          <cell r="H65">
            <v>20.021212581655998</v>
          </cell>
        </row>
        <row r="66">
          <cell r="B66" t="str">
            <v>CO2_T</v>
          </cell>
          <cell r="C66" t="str">
            <v>VAR_fout</v>
          </cell>
          <cell r="D66" t="str">
            <v>TFLGV-ICEDSLExt</v>
          </cell>
          <cell r="E66">
            <v>806.28402632844495</v>
          </cell>
          <cell r="F66">
            <v>545.33214338840003</v>
          </cell>
          <cell r="G66">
            <v>399.757050965985</v>
          </cell>
          <cell r="H66">
            <v>199.79736556047001</v>
          </cell>
        </row>
        <row r="67">
          <cell r="B67" t="str">
            <v>CO2_T</v>
          </cell>
          <cell r="C67" t="str">
            <v>VAR_fout</v>
          </cell>
          <cell r="D67" t="str">
            <v>T_C-ICE-NGA-S1</v>
          </cell>
          <cell r="E67">
            <v>0.2007362515143753</v>
          </cell>
          <cell r="F67">
            <v>9.2750010802465338E-2</v>
          </cell>
          <cell r="G67">
            <v>0.10529897215343537</v>
          </cell>
          <cell r="H67">
            <v>2.6586418014074357E-2</v>
          </cell>
          <cell r="I67">
            <v>1.3188062118173362E-2</v>
          </cell>
          <cell r="J67">
            <v>2.6089891392887801E-3</v>
          </cell>
        </row>
        <row r="68">
          <cell r="B68" t="str">
            <v>CO2_T</v>
          </cell>
          <cell r="C68" t="str">
            <v>VAR_fout</v>
          </cell>
          <cell r="D68" t="str">
            <v>T_C-ICE-NGA-S2</v>
          </cell>
          <cell r="E68">
            <v>2.9703707139091748</v>
          </cell>
          <cell r="F68">
            <v>0.33229266455433137</v>
          </cell>
          <cell r="G68">
            <v>0.43838077671516673</v>
          </cell>
          <cell r="H68">
            <v>7.4907047082048303E-2</v>
          </cell>
          <cell r="I68">
            <v>2.1519227791956353E-2</v>
          </cell>
          <cell r="J68">
            <v>2.4000402241795399E-3</v>
          </cell>
        </row>
        <row r="69">
          <cell r="B69" t="str">
            <v>CO2_T</v>
          </cell>
          <cell r="C69" t="str">
            <v>VAR_fout</v>
          </cell>
          <cell r="D69" t="str">
            <v>TFLGV-ICEDSL</v>
          </cell>
          <cell r="E69">
            <v>325.31121280186562</v>
          </cell>
          <cell r="F69">
            <v>384.61243321541127</v>
          </cell>
          <cell r="G69">
            <v>366.41490377701069</v>
          </cell>
          <cell r="H69">
            <v>154.7608365520596</v>
          </cell>
          <cell r="I69">
            <v>8.4371294572061578E-2</v>
          </cell>
          <cell r="J69">
            <v>4.046775542118723E-3</v>
          </cell>
        </row>
        <row r="70">
          <cell r="B70" t="str">
            <v>CO2_T</v>
          </cell>
          <cell r="C70" t="str">
            <v>VAR_fout</v>
          </cell>
          <cell r="D70" t="str">
            <v>T_C-ICE-NGA-S3</v>
          </cell>
          <cell r="E70">
            <v>0.23682423426689669</v>
          </cell>
          <cell r="F70">
            <v>0.10754168710849513</v>
          </cell>
          <cell r="G70">
            <v>0.15144315993118898</v>
          </cell>
          <cell r="H70">
            <v>9.3081638948122478E-2</v>
          </cell>
          <cell r="I70">
            <v>2.7475810625366769E-2</v>
          </cell>
          <cell r="J70">
            <v>2.8856976755592899E-3</v>
          </cell>
        </row>
        <row r="71">
          <cell r="B71" t="str">
            <v>CO2_T</v>
          </cell>
          <cell r="C71" t="str">
            <v>VAR_fout</v>
          </cell>
          <cell r="D71" t="str">
            <v>T_C-ICE-NGA-S4</v>
          </cell>
          <cell r="E71">
            <v>2.716627350358233</v>
          </cell>
          <cell r="F71">
            <v>1.8689916406914557</v>
          </cell>
          <cell r="G71">
            <v>2.4810881069628983</v>
          </cell>
          <cell r="H71">
            <v>5.6672204568002517E-2</v>
          </cell>
          <cell r="I71">
            <v>3.9241364170917642E-2</v>
          </cell>
          <cell r="J71">
            <v>3.8606764643478501E-3</v>
          </cell>
        </row>
        <row r="72">
          <cell r="B72" t="str">
            <v>CO2_T</v>
          </cell>
          <cell r="C72" t="str">
            <v>VAR_fout</v>
          </cell>
          <cell r="D72" t="str">
            <v>T_C-MHY-GSL-S1</v>
          </cell>
          <cell r="F72">
            <v>8.6643305760474895E-2</v>
          </cell>
          <cell r="G72">
            <v>0.2231149215916205</v>
          </cell>
          <cell r="H72">
            <v>0.29441320389548464</v>
          </cell>
          <cell r="I72">
            <v>8.6721337947735705E-2</v>
          </cell>
          <cell r="J72">
            <v>1.0848418412340691E-2</v>
          </cell>
        </row>
        <row r="73">
          <cell r="B73" t="str">
            <v>CO2_T</v>
          </cell>
          <cell r="C73" t="str">
            <v>VAR_fout</v>
          </cell>
          <cell r="D73" t="str">
            <v>T_C-MHY-GSL-S2</v>
          </cell>
          <cell r="F73">
            <v>7.4695645274384104E-2</v>
          </cell>
          <cell r="G73">
            <v>0.21131037825004101</v>
          </cell>
          <cell r="H73">
            <v>0.31417988245689676</v>
          </cell>
          <cell r="I73">
            <v>9.2830350874740633E-2</v>
          </cell>
          <cell r="J73">
            <v>9.4340253340920999E-3</v>
          </cell>
        </row>
        <row r="74">
          <cell r="B74" t="str">
            <v>CO2_T</v>
          </cell>
          <cell r="C74" t="str">
            <v>VAR_fout</v>
          </cell>
          <cell r="D74" t="str">
            <v>T_C-MHY-DSL-S1</v>
          </cell>
          <cell r="F74">
            <v>6.8882236523522294E-2</v>
          </cell>
          <cell r="G74">
            <v>0.18356307201449029</v>
          </cell>
          <cell r="H74">
            <v>0.25744299904284212</v>
          </cell>
          <cell r="I74">
            <v>7.6360391859137497E-2</v>
          </cell>
          <cell r="J74">
            <v>8.2786909374211997E-3</v>
          </cell>
        </row>
        <row r="75">
          <cell r="B75" t="str">
            <v>CO2_T</v>
          </cell>
          <cell r="C75" t="str">
            <v>VAR_fout</v>
          </cell>
          <cell r="D75" t="str">
            <v>T_C-MHY-GSL-S3</v>
          </cell>
          <cell r="F75">
            <v>0.120631649720448</v>
          </cell>
          <cell r="G75">
            <v>0.29044830533236499</v>
          </cell>
          <cell r="H75">
            <v>0.43113155633065203</v>
          </cell>
          <cell r="I75">
            <v>9.5880227158374659E-2</v>
          </cell>
          <cell r="J75">
            <v>8.5114542051946199E-3</v>
          </cell>
        </row>
        <row r="76">
          <cell r="B76" t="str">
            <v>CO2_T</v>
          </cell>
          <cell r="C76" t="str">
            <v>VAR_fout</v>
          </cell>
          <cell r="D76" t="str">
            <v>T_C-MHY-DSL-S2</v>
          </cell>
          <cell r="F76">
            <v>6.0515878759150099E-2</v>
          </cell>
          <cell r="G76">
            <v>0.17871432426595199</v>
          </cell>
          <cell r="H76">
            <v>0.3018760897301051</v>
          </cell>
          <cell r="I76">
            <v>7.9859050653089347E-2</v>
          </cell>
          <cell r="J76">
            <v>7.1357438601632392E-3</v>
          </cell>
        </row>
        <row r="77">
          <cell r="B77" t="str">
            <v>CO2_T</v>
          </cell>
          <cell r="C77" t="str">
            <v>VAR_fout</v>
          </cell>
          <cell r="D77" t="str">
            <v>T_C-MHY-GSL-S4</v>
          </cell>
          <cell r="F77">
            <v>0.17936439169268101</v>
          </cell>
          <cell r="G77">
            <v>0.41037724620740301</v>
          </cell>
          <cell r="H77">
            <v>0.69680803424581605</v>
          </cell>
          <cell r="I77">
            <v>0.16497996668582346</v>
          </cell>
          <cell r="J77">
            <v>1.214511510112473E-2</v>
          </cell>
        </row>
        <row r="78">
          <cell r="B78" t="str">
            <v>CO2_T</v>
          </cell>
          <cell r="C78" t="str">
            <v>VAR_fout</v>
          </cell>
          <cell r="D78" t="str">
            <v>T_C-MHY-DSL-S3</v>
          </cell>
          <cell r="F78">
            <v>9.0246693917822002E-2</v>
          </cell>
          <cell r="G78">
            <v>0.23285978235423382</v>
          </cell>
          <cell r="H78">
            <v>0.37244714678875823</v>
          </cell>
          <cell r="I78">
            <v>8.4048082433667237E-2</v>
          </cell>
          <cell r="J78">
            <v>6.3529746486313404E-3</v>
          </cell>
        </row>
        <row r="79">
          <cell r="B79" t="str">
            <v>CO2_T</v>
          </cell>
          <cell r="C79" t="str">
            <v>VAR_fout</v>
          </cell>
          <cell r="D79" t="str">
            <v>T_B_c-HYBDSL-S1</v>
          </cell>
          <cell r="F79">
            <v>0.30882399553027801</v>
          </cell>
          <cell r="G79">
            <v>0.35807168703306919</v>
          </cell>
          <cell r="H79">
            <v>7.7680393664439795E-2</v>
          </cell>
          <cell r="I79">
            <v>4.5369665127362913</v>
          </cell>
          <cell r="J79">
            <v>2.8606676210331776</v>
          </cell>
        </row>
        <row r="80">
          <cell r="B80" t="str">
            <v>CO2_T</v>
          </cell>
          <cell r="C80" t="str">
            <v>VAR_fout</v>
          </cell>
          <cell r="D80" t="str">
            <v>T_C-MHY-DSL-S4</v>
          </cell>
          <cell r="F80">
            <v>5.9714096712063999E-2</v>
          </cell>
          <cell r="G80">
            <v>0.13126159762881662</v>
          </cell>
          <cell r="H80">
            <v>0.1847434177493629</v>
          </cell>
          <cell r="I80">
            <v>4.8541921570885223E-2</v>
          </cell>
          <cell r="J80">
            <v>5.9204466713130705E-3</v>
          </cell>
        </row>
        <row r="81">
          <cell r="B81" t="str">
            <v>CO2_T</v>
          </cell>
          <cell r="C81" t="str">
            <v>VAR_fout</v>
          </cell>
          <cell r="D81" t="str">
            <v>T_B_c-HYBDSL-S2</v>
          </cell>
          <cell r="F81">
            <v>4.9942387992397801E-2</v>
          </cell>
          <cell r="G81">
            <v>1.526011613814884</v>
          </cell>
          <cell r="H81">
            <v>1.6899095168863443</v>
          </cell>
          <cell r="I81">
            <v>0.12130501159791039</v>
          </cell>
          <cell r="J81">
            <v>8.1205370002420101E-3</v>
          </cell>
        </row>
        <row r="82">
          <cell r="B82" t="str">
            <v>CO2_T</v>
          </cell>
          <cell r="C82" t="str">
            <v>VAR_fout</v>
          </cell>
          <cell r="D82" t="str">
            <v>T_B_c-HYBDSL-S3</v>
          </cell>
          <cell r="F82">
            <v>3.5135662411785597E-2</v>
          </cell>
          <cell r="G82">
            <v>0.70426172914535068</v>
          </cell>
          <cell r="H82">
            <v>9.9398553142663406</v>
          </cell>
          <cell r="I82">
            <v>7.5963952696900303E-2</v>
          </cell>
          <cell r="J82">
            <v>2.255864360749097E-3</v>
          </cell>
        </row>
        <row r="83">
          <cell r="B83" t="str">
            <v>CO2_T</v>
          </cell>
          <cell r="C83" t="str">
            <v>VAR_fout</v>
          </cell>
          <cell r="D83" t="str">
            <v>T_B_c-HYBDSL-S4</v>
          </cell>
          <cell r="F83">
            <v>8.0556286094931595E-3</v>
          </cell>
          <cell r="G83">
            <v>1.480767717728638E-2</v>
          </cell>
          <cell r="H83">
            <v>1.085496787877015E-2</v>
          </cell>
          <cell r="I83">
            <v>4.26838344301905E-3</v>
          </cell>
        </row>
        <row r="84">
          <cell r="B84" t="str">
            <v>CO2_T</v>
          </cell>
          <cell r="C84" t="str">
            <v>VAR_fout</v>
          </cell>
          <cell r="D84" t="str">
            <v>TFHGV-ICEDSLExt</v>
          </cell>
          <cell r="E84">
            <v>1407.48517664784</v>
          </cell>
          <cell r="F84">
            <v>1140.9617705349999</v>
          </cell>
          <cell r="G84">
            <v>841.44885145890396</v>
          </cell>
          <cell r="H84">
            <v>363.01349412601201</v>
          </cell>
        </row>
        <row r="85">
          <cell r="B85" t="str">
            <v>CO2_T</v>
          </cell>
          <cell r="C85" t="str">
            <v>VAR_fout</v>
          </cell>
          <cell r="D85" t="str">
            <v>TPSHPGSLEXT</v>
          </cell>
          <cell r="E85">
            <v>129.873812963153</v>
          </cell>
          <cell r="F85">
            <v>81.889909194057594</v>
          </cell>
          <cell r="G85">
            <v>5.9178912916260998E-2</v>
          </cell>
          <cell r="H85">
            <v>3.5182319172844499E-2</v>
          </cell>
          <cell r="I85">
            <v>3.0575179242727301E-2</v>
          </cell>
        </row>
        <row r="86">
          <cell r="B86" t="str">
            <v>CO2_T</v>
          </cell>
          <cell r="C86" t="str">
            <v>VAR_fout</v>
          </cell>
          <cell r="D86" t="str">
            <v>T_TW-ICEGSL-S1</v>
          </cell>
          <cell r="E86">
            <v>3.2601628808562602</v>
          </cell>
          <cell r="F86">
            <v>12.763667262865278</v>
          </cell>
          <cell r="G86">
            <v>25.287646787944652</v>
          </cell>
          <cell r="H86">
            <v>44.961171797340612</v>
          </cell>
          <cell r="I86">
            <v>0.54966995918660511</v>
          </cell>
          <cell r="J86">
            <v>5.1116604586034699E-3</v>
          </cell>
        </row>
        <row r="87">
          <cell r="B87" t="str">
            <v>CO2_T</v>
          </cell>
          <cell r="C87" t="str">
            <v>VAR_fout</v>
          </cell>
          <cell r="D87" t="str">
            <v>TPSHPDSLEXT</v>
          </cell>
          <cell r="E87">
            <v>1273.9831592043399</v>
          </cell>
          <cell r="F87">
            <v>1252.91121883251</v>
          </cell>
          <cell r="G87">
            <v>1262.6741122030301</v>
          </cell>
          <cell r="H87">
            <v>1197.88526473807</v>
          </cell>
          <cell r="I87">
            <v>1197.7510135405901</v>
          </cell>
          <cell r="J87">
            <v>1198.4349100998299</v>
          </cell>
        </row>
        <row r="88">
          <cell r="B88" t="str">
            <v>CO2_T</v>
          </cell>
          <cell r="C88" t="str">
            <v>VAR_fout</v>
          </cell>
          <cell r="D88" t="str">
            <v>T_TW-ICEGSL-S2</v>
          </cell>
          <cell r="E88">
            <v>8.2622349807622602</v>
          </cell>
          <cell r="F88">
            <v>12.046480102508015</v>
          </cell>
          <cell r="G88">
            <v>12.046298580570346</v>
          </cell>
          <cell r="H88">
            <v>7.6487354741600315</v>
          </cell>
          <cell r="I88">
            <v>2.387960251607207E-2</v>
          </cell>
          <cell r="J88">
            <v>3.4112627768583467E-3</v>
          </cell>
        </row>
        <row r="89">
          <cell r="B89" t="str">
            <v>CO2_T</v>
          </cell>
          <cell r="C89" t="str">
            <v>VAR_fout</v>
          </cell>
          <cell r="D89" t="str">
            <v>T_TW-ICEGSL-S3</v>
          </cell>
          <cell r="E89">
            <v>12.23719404131335</v>
          </cell>
          <cell r="F89">
            <v>14.790838999631969</v>
          </cell>
          <cell r="G89">
            <v>15.205243313904528</v>
          </cell>
          <cell r="H89">
            <v>14.630515132814095</v>
          </cell>
          <cell r="I89">
            <v>5.4263448388023286E-2</v>
          </cell>
          <cell r="J89">
            <v>3.4633549270147628E-3</v>
          </cell>
        </row>
        <row r="90">
          <cell r="B90" t="str">
            <v>CO2_T</v>
          </cell>
          <cell r="C90" t="str">
            <v>VAR_fout</v>
          </cell>
          <cell r="D90" t="str">
            <v>T_C-ICEGSLEXT</v>
          </cell>
          <cell r="E90">
            <v>4722.2888292112102</v>
          </cell>
          <cell r="F90">
            <v>3940.3374167345901</v>
          </cell>
          <cell r="G90">
            <v>3140.6388536960399</v>
          </cell>
          <cell r="H90">
            <v>953.28931215935199</v>
          </cell>
        </row>
        <row r="91">
          <cell r="B91" t="str">
            <v>CO2_T</v>
          </cell>
          <cell r="C91" t="str">
            <v>VAR_fout</v>
          </cell>
          <cell r="D91" t="str">
            <v>T_TW-ICEGSL-S4</v>
          </cell>
          <cell r="E91">
            <v>7.9524681294453705</v>
          </cell>
          <cell r="F91">
            <v>9.414216845395007</v>
          </cell>
          <cell r="G91">
            <v>9.6796972428122743</v>
          </cell>
          <cell r="H91">
            <v>9.3666462716812333</v>
          </cell>
          <cell r="I91">
            <v>6.0397056219721378E-2</v>
          </cell>
          <cell r="J91">
            <v>6.9010213353852658E-3</v>
          </cell>
        </row>
        <row r="92">
          <cell r="B92" t="str">
            <v>CO2_T</v>
          </cell>
          <cell r="C92" t="str">
            <v>VAR_fout</v>
          </cell>
          <cell r="D92" t="str">
            <v>T_C-ICEDSLEXT</v>
          </cell>
          <cell r="E92">
            <v>4001.7608804280499</v>
          </cell>
          <cell r="F92">
            <v>3569.7775108174901</v>
          </cell>
          <cell r="G92">
            <v>2582.8872235976801</v>
          </cell>
          <cell r="H92">
            <v>1175.1496214853701</v>
          </cell>
        </row>
        <row r="93">
          <cell r="B93" t="str">
            <v>CO2_T</v>
          </cell>
          <cell r="C93" t="str">
            <v>VAR_fout</v>
          </cell>
          <cell r="D93" t="str">
            <v>T_TW-ICEGSLEXT</v>
          </cell>
          <cell r="E93">
            <v>146.10427250291701</v>
          </cell>
          <cell r="F93">
            <v>110.27545069049199</v>
          </cell>
          <cell r="G93">
            <v>76.301517590160103</v>
          </cell>
          <cell r="H93">
            <v>33.459704426396698</v>
          </cell>
        </row>
        <row r="94">
          <cell r="B94" t="str">
            <v>CO2_T</v>
          </cell>
          <cell r="C94" t="str">
            <v>VAR_fout</v>
          </cell>
          <cell r="D94" t="str">
            <v>TFLGV-ICENGA</v>
          </cell>
          <cell r="E94">
            <v>0.4711102222649553</v>
          </cell>
          <cell r="F94">
            <v>5.4939837015008E-2</v>
          </cell>
          <cell r="G94">
            <v>7.6700729665586456E-2</v>
          </cell>
          <cell r="H94">
            <v>3.6567900269816669E-2</v>
          </cell>
          <cell r="I94">
            <v>3.0730218954879332E-2</v>
          </cell>
          <cell r="J94">
            <v>7.0734465486743704E-3</v>
          </cell>
        </row>
        <row r="95">
          <cell r="B95" t="str">
            <v>CO2_T</v>
          </cell>
          <cell r="C95" t="str">
            <v>VAR_fout</v>
          </cell>
          <cell r="D95" t="str">
            <v>T_B_c-ICENGA-S1</v>
          </cell>
          <cell r="F95">
            <v>4.3751060103341096E-3</v>
          </cell>
          <cell r="G95">
            <v>4.3780438364732811E-2</v>
          </cell>
          <cell r="I95">
            <v>7.2962838660533397E-4</v>
          </cell>
          <cell r="J95">
            <v>2.35636923487532E-4</v>
          </cell>
        </row>
        <row r="96">
          <cell r="B96" t="str">
            <v>CO2_T</v>
          </cell>
          <cell r="C96" t="str">
            <v>VAR_fout</v>
          </cell>
          <cell r="D96" t="str">
            <v>T_B_c-ICENGA-S2</v>
          </cell>
          <cell r="F96">
            <v>3.6084711500512399E-3</v>
          </cell>
          <cell r="G96">
            <v>5.0043956314390708E-2</v>
          </cell>
          <cell r="I96">
            <v>8.3098118155436503E-4</v>
          </cell>
        </row>
        <row r="97">
          <cell r="B97" t="str">
            <v>CO2_T</v>
          </cell>
          <cell r="C97" t="str">
            <v>VAR_fout</v>
          </cell>
          <cell r="D97" t="str">
            <v>T_B_u-ICEDSL-S1</v>
          </cell>
          <cell r="E97">
            <v>2.3120092395065052E-2</v>
          </cell>
          <cell r="F97">
            <v>16.324077032409651</v>
          </cell>
          <cell r="G97">
            <v>30.90800095123295</v>
          </cell>
          <cell r="H97">
            <v>3.24389393396646E-3</v>
          </cell>
          <cell r="I97">
            <v>1.485473134901836E-3</v>
          </cell>
          <cell r="J97">
            <v>7.79610039524993E-4</v>
          </cell>
        </row>
        <row r="98">
          <cell r="B98" t="str">
            <v>CO2_T</v>
          </cell>
          <cell r="C98" t="str">
            <v>VAR_fout</v>
          </cell>
          <cell r="D98" t="str">
            <v>T_B_c-ICENGA-S3</v>
          </cell>
          <cell r="F98">
            <v>2.83863913138025E-3</v>
          </cell>
          <cell r="G98">
            <v>2.9044831828745392E-2</v>
          </cell>
          <cell r="H98">
            <v>1.7665493444703599E-4</v>
          </cell>
          <cell r="I98">
            <v>9.8857581783485301E-4</v>
          </cell>
        </row>
        <row r="99">
          <cell r="B99" t="str">
            <v>CO2_T</v>
          </cell>
          <cell r="C99" t="str">
            <v>VAR_fout</v>
          </cell>
          <cell r="D99" t="str">
            <v>T_B_u-ICEDSL-S2</v>
          </cell>
          <cell r="E99">
            <v>7.8762960663709194</v>
          </cell>
          <cell r="F99">
            <v>9.9385898968269881</v>
          </cell>
          <cell r="G99">
            <v>17.078608950728359</v>
          </cell>
          <cell r="I99">
            <v>7.9694112366098099E-4</v>
          </cell>
        </row>
        <row r="100">
          <cell r="B100" t="str">
            <v>CO2_T</v>
          </cell>
          <cell r="C100" t="str">
            <v>VAR_fout</v>
          </cell>
          <cell r="D100" t="str">
            <v>T_B_c-ICENGA-S4</v>
          </cell>
          <cell r="F100">
            <v>2.11890588017534E-4</v>
          </cell>
          <cell r="G100">
            <v>6.5659649198758002E-3</v>
          </cell>
          <cell r="I100">
            <v>2.5688221025084203E-3</v>
          </cell>
        </row>
        <row r="101">
          <cell r="B101" t="str">
            <v>CO2_T</v>
          </cell>
          <cell r="C101" t="str">
            <v>VAR_fout</v>
          </cell>
          <cell r="D101" t="str">
            <v>T_B_u-ICEDSL-S3</v>
          </cell>
          <cell r="E101">
            <v>45.719165171023349</v>
          </cell>
          <cell r="F101">
            <v>67.898372222470414</v>
          </cell>
          <cell r="G101">
            <v>98.366694916475026</v>
          </cell>
          <cell r="I101">
            <v>2.5296639186483299E-3</v>
          </cell>
        </row>
        <row r="102">
          <cell r="B102" t="str">
            <v>CO2_T</v>
          </cell>
          <cell r="C102" t="str">
            <v>VAR_fout</v>
          </cell>
          <cell r="D102" t="str">
            <v>T_B_u-ICEDSL-S4</v>
          </cell>
          <cell r="E102">
            <v>0.42544836484355697</v>
          </cell>
          <cell r="F102">
            <v>5.8622025944483416E-2</v>
          </cell>
          <cell r="G102">
            <v>7.8736032209344498E-2</v>
          </cell>
        </row>
        <row r="103">
          <cell r="B103" t="str">
            <v>CO2_T</v>
          </cell>
          <cell r="C103" t="str">
            <v>VAR_fout</v>
          </cell>
          <cell r="D103" t="str">
            <v>T_B_c-ICENGAEXT</v>
          </cell>
          <cell r="E103">
            <v>7.7875428969883297E-3</v>
          </cell>
          <cell r="F103">
            <v>7.8815012426383703E-3</v>
          </cell>
          <cell r="G103">
            <v>7.7873318999622E-3</v>
          </cell>
        </row>
        <row r="104">
          <cell r="B104" t="str">
            <v>CO2_T</v>
          </cell>
          <cell r="C104" t="str">
            <v>VAR_fout</v>
          </cell>
          <cell r="D104" t="str">
            <v>T_B_u-ICEDSLEXT</v>
          </cell>
          <cell r="E104">
            <v>1.27065658313784</v>
          </cell>
          <cell r="F104">
            <v>1.2694204689669699</v>
          </cell>
          <cell r="G104">
            <v>1.26416378004896</v>
          </cell>
        </row>
        <row r="105">
          <cell r="B105" t="str">
            <v>CO2_T</v>
          </cell>
          <cell r="C105" t="str">
            <v>VAR_fout</v>
          </cell>
          <cell r="D105" t="str">
            <v>T_C-HYBGSLEXT</v>
          </cell>
          <cell r="E105">
            <v>92.549734912109898</v>
          </cell>
          <cell r="F105">
            <v>91.7247395759086</v>
          </cell>
          <cell r="G105">
            <v>68.277464482122298</v>
          </cell>
          <cell r="H105">
            <v>32.395003518500999</v>
          </cell>
        </row>
        <row r="106">
          <cell r="B106" t="str">
            <v>CO2_T</v>
          </cell>
          <cell r="C106" t="str">
            <v>VAR_fout</v>
          </cell>
          <cell r="D106" t="str">
            <v>TPAVDKEREXT</v>
          </cell>
          <cell r="E106">
            <v>79.576349423418094</v>
          </cell>
          <cell r="F106">
            <v>100.796237247683</v>
          </cell>
          <cell r="G106">
            <v>132.626068984081</v>
          </cell>
          <cell r="H106">
            <v>185.675788544743</v>
          </cell>
          <cell r="I106">
            <v>154.38211110512901</v>
          </cell>
          <cell r="J106">
            <v>123.088433665514</v>
          </cell>
        </row>
        <row r="107">
          <cell r="B107" t="str">
            <v>CO2_T</v>
          </cell>
          <cell r="C107" t="str">
            <v>VAR_fout</v>
          </cell>
          <cell r="D107" t="str">
            <v>T_C-ICE-GSL-S1</v>
          </cell>
          <cell r="E107">
            <v>33.106954441220225</v>
          </cell>
          <cell r="F107">
            <v>28.86985649602779</v>
          </cell>
          <cell r="G107">
            <v>83.30170983781673</v>
          </cell>
          <cell r="H107">
            <v>69.994039821065741</v>
          </cell>
          <cell r="I107">
            <v>4.8029930674835528</v>
          </cell>
          <cell r="J107">
            <v>2.3918461331039198E-3</v>
          </cell>
        </row>
        <row r="108">
          <cell r="B108" t="str">
            <v>CO2_T</v>
          </cell>
          <cell r="C108" t="str">
            <v>VAR_fout</v>
          </cell>
          <cell r="D108" t="str">
            <v>TFLGV-ICEGSL</v>
          </cell>
          <cell r="E108">
            <v>26.473032053984792</v>
          </cell>
          <cell r="F108">
            <v>42.871759396592594</v>
          </cell>
          <cell r="G108">
            <v>66.732952752093254</v>
          </cell>
          <cell r="H108">
            <v>100.62752526310155</v>
          </cell>
          <cell r="I108">
            <v>10.311203266762648</v>
          </cell>
          <cell r="J108">
            <v>6.0382188960033407E-3</v>
          </cell>
        </row>
        <row r="109">
          <cell r="B109" t="str">
            <v>CO2_T</v>
          </cell>
          <cell r="C109" t="str">
            <v>VAR_fout</v>
          </cell>
          <cell r="D109" t="str">
            <v>T_C-ICE-GSL-S2</v>
          </cell>
          <cell r="E109">
            <v>253.17945622117878</v>
          </cell>
          <cell r="F109">
            <v>391.79490468299127</v>
          </cell>
          <cell r="G109">
            <v>344.87368328730213</v>
          </cell>
          <cell r="H109">
            <v>261.44659391788815</v>
          </cell>
          <cell r="I109">
            <v>0.1922762486320766</v>
          </cell>
          <cell r="J109">
            <v>1.9428734338353499E-3</v>
          </cell>
        </row>
        <row r="110">
          <cell r="B110" t="str">
            <v>CO2_T</v>
          </cell>
          <cell r="C110" t="str">
            <v>VAR_fout</v>
          </cell>
          <cell r="D110" t="str">
            <v>T_C-ICE-DSL-S1</v>
          </cell>
          <cell r="E110">
            <v>0.3759654223609592</v>
          </cell>
          <cell r="F110">
            <v>0.40624005701457394</v>
          </cell>
          <cell r="G110">
            <v>0.4846375707583771</v>
          </cell>
          <cell r="H110">
            <v>0.4312358959716393</v>
          </cell>
          <cell r="I110">
            <v>7.551697687443755E-2</v>
          </cell>
          <cell r="J110">
            <v>1.6484264603641801E-3</v>
          </cell>
        </row>
        <row r="111">
          <cell r="B111" t="str">
            <v>CO2_T</v>
          </cell>
          <cell r="C111" t="str">
            <v>VAR_fout</v>
          </cell>
          <cell r="D111" t="str">
            <v>T_C-ICE-GSL-S3</v>
          </cell>
          <cell r="E111">
            <v>265.83785907499163</v>
          </cell>
          <cell r="F111">
            <v>655.0986178428459</v>
          </cell>
          <cell r="G111">
            <v>724.081522415667</v>
          </cell>
          <cell r="H111">
            <v>589.60136978900118</v>
          </cell>
          <cell r="I111">
            <v>5.4335997338744795</v>
          </cell>
          <cell r="J111">
            <v>1.97263075701574E-3</v>
          </cell>
        </row>
        <row r="112">
          <cell r="B112" t="str">
            <v>CO2_T</v>
          </cell>
          <cell r="C112" t="str">
            <v>VAR_fout</v>
          </cell>
          <cell r="D112" t="str">
            <v>T_C-ICE-DSL-S2</v>
          </cell>
          <cell r="E112">
            <v>86.215711563799175</v>
          </cell>
          <cell r="F112">
            <v>94.110666446185036</v>
          </cell>
          <cell r="G112">
            <v>74.985245890569345</v>
          </cell>
          <cell r="H112">
            <v>61.010869170265849</v>
          </cell>
          <cell r="I112">
            <v>7.6796928523821223E-2</v>
          </cell>
          <cell r="J112">
            <v>1.33017573827844E-3</v>
          </cell>
        </row>
        <row r="113">
          <cell r="B113" t="str">
            <v>CO2_T</v>
          </cell>
          <cell r="C113" t="str">
            <v>VAR_fout</v>
          </cell>
          <cell r="D113" t="str">
            <v>T_C-ICE-GSL-S4</v>
          </cell>
          <cell r="E113">
            <v>254.31400868743719</v>
          </cell>
          <cell r="F113">
            <v>389.2221306304836</v>
          </cell>
          <cell r="G113">
            <v>610.7107711519651</v>
          </cell>
          <cell r="H113">
            <v>1976.2395721533805</v>
          </cell>
          <cell r="I113">
            <v>430.06305882695062</v>
          </cell>
          <cell r="J113">
            <v>2.43174178246252E-3</v>
          </cell>
        </row>
        <row r="114">
          <cell r="B114" t="str">
            <v>CO2_T</v>
          </cell>
          <cell r="C114" t="str">
            <v>VAR_fout</v>
          </cell>
          <cell r="D114" t="str">
            <v>T_C-ICE-DSL-S3</v>
          </cell>
          <cell r="E114">
            <v>329.53944463216806</v>
          </cell>
          <cell r="F114">
            <v>390.53173472108864</v>
          </cell>
          <cell r="G114">
            <v>386.82698569505158</v>
          </cell>
          <cell r="H114">
            <v>295.58927769978527</v>
          </cell>
          <cell r="I114">
            <v>7.1834473261327192E-2</v>
          </cell>
          <cell r="J114">
            <v>1.3359286906106901E-3</v>
          </cell>
        </row>
        <row r="115">
          <cell r="B115" t="str">
            <v>CO2_T</v>
          </cell>
          <cell r="C115" t="str">
            <v>VAR_fout</v>
          </cell>
          <cell r="D115" t="str">
            <v>T_C-ICE-DSL-S4</v>
          </cell>
          <cell r="E115">
            <v>141.9947904071777</v>
          </cell>
          <cell r="F115">
            <v>162.04111158475223</v>
          </cell>
          <cell r="G115">
            <v>159.05199137824988</v>
          </cell>
          <cell r="H115">
            <v>122.67394513440797</v>
          </cell>
          <cell r="I115">
            <v>4.6176466286148216E-2</v>
          </cell>
          <cell r="J115">
            <v>1.3854150091918301E-3</v>
          </cell>
        </row>
        <row r="116">
          <cell r="B116" t="str">
            <v>CO2_T</v>
          </cell>
          <cell r="C116" t="str">
            <v>VAR_fout</v>
          </cell>
          <cell r="D116" t="str">
            <v>TFLGV-ICENGAExt</v>
          </cell>
          <cell r="E116">
            <v>6.0148763450463001</v>
          </cell>
          <cell r="F116">
            <v>1.82787638177687</v>
          </cell>
          <cell r="G116">
            <v>3.93631001612109</v>
          </cell>
          <cell r="H116">
            <v>9.4975693368754503E-3</v>
          </cell>
        </row>
        <row r="117">
          <cell r="B117" t="str">
            <v>CO2_T</v>
          </cell>
          <cell r="C117" t="str">
            <v>VAR_fout</v>
          </cell>
          <cell r="D117" t="str">
            <v>T_B_u-HYBDSL-S1</v>
          </cell>
          <cell r="F117">
            <v>2.5398975973484501</v>
          </cell>
          <cell r="G117">
            <v>2.6072398848681635</v>
          </cell>
          <cell r="H117">
            <v>3.8600678438188388E-2</v>
          </cell>
          <cell r="I117">
            <v>6.958789083020144</v>
          </cell>
          <cell r="J117">
            <v>8.2607419632253709</v>
          </cell>
        </row>
        <row r="118">
          <cell r="B118" t="str">
            <v>CO2_T</v>
          </cell>
          <cell r="C118" t="str">
            <v>VAR_fout</v>
          </cell>
          <cell r="D118" t="str">
            <v>T_B_u-HYBDSL-S2</v>
          </cell>
          <cell r="F118">
            <v>6.2911525137768695E-2</v>
          </cell>
          <cell r="G118">
            <v>0.1014976796717361</v>
          </cell>
          <cell r="H118">
            <v>5.6900081135327504E-2</v>
          </cell>
          <cell r="I118">
            <v>6.3279309491668143E-2</v>
          </cell>
          <cell r="J118">
            <v>5.8757927825171903E-3</v>
          </cell>
        </row>
        <row r="119">
          <cell r="B119" t="str">
            <v>CO2_T</v>
          </cell>
          <cell r="C119" t="str">
            <v>VAR_fout</v>
          </cell>
          <cell r="D119" t="str">
            <v>T_B_u-HYBDSL-S3</v>
          </cell>
          <cell r="F119">
            <v>0.161212130921606</v>
          </cell>
          <cell r="G119">
            <v>14.770514441620216</v>
          </cell>
          <cell r="H119">
            <v>14.780683910893787</v>
          </cell>
          <cell r="I119">
            <v>6.3545406312355696E-2</v>
          </cell>
          <cell r="J119">
            <v>8.6872468507355103E-4</v>
          </cell>
        </row>
        <row r="120">
          <cell r="B120" t="str">
            <v>CO2_T</v>
          </cell>
          <cell r="C120" t="str">
            <v>VAR_fout</v>
          </cell>
          <cell r="D120" t="str">
            <v>T_C-HY-GSL-S1</v>
          </cell>
          <cell r="E120">
            <v>3.2732589725663939</v>
          </cell>
          <cell r="F120">
            <v>3.6025582315462104</v>
          </cell>
          <cell r="G120">
            <v>3.4226398326000762</v>
          </cell>
          <cell r="H120">
            <v>74.935358494462548</v>
          </cell>
          <cell r="I120">
            <v>130.22677218836586</v>
          </cell>
          <cell r="J120">
            <v>1.087155516725522E-2</v>
          </cell>
        </row>
        <row r="121">
          <cell r="B121" t="str">
            <v>CO2_T</v>
          </cell>
          <cell r="C121" t="str">
            <v>VAR_fout</v>
          </cell>
          <cell r="D121" t="str">
            <v>T_B_u-HYBDSL-S4</v>
          </cell>
          <cell r="F121">
            <v>5.5160140727628197E-3</v>
          </cell>
          <cell r="G121">
            <v>1.06092425362699E-2</v>
          </cell>
          <cell r="H121">
            <v>7.3166422694514602E-3</v>
          </cell>
          <cell r="I121">
            <v>3.7189295753952299E-3</v>
          </cell>
        </row>
        <row r="122">
          <cell r="B122" t="str">
            <v>CO2_T</v>
          </cell>
          <cell r="C122" t="str">
            <v>VAR_fout</v>
          </cell>
          <cell r="D122" t="str">
            <v>TFRLFDSLEXT</v>
          </cell>
          <cell r="E122">
            <v>29.033002704371899</v>
          </cell>
          <cell r="F122">
            <v>28.9965766628453</v>
          </cell>
          <cell r="G122">
            <v>0.147756971909899</v>
          </cell>
          <cell r="H122">
            <v>0.113931705467854</v>
          </cell>
        </row>
        <row r="123">
          <cell r="B123" t="str">
            <v>CO2_T</v>
          </cell>
          <cell r="C123" t="str">
            <v>VAR_fout</v>
          </cell>
          <cell r="D123" t="str">
            <v>T_C-HY-GSL-S2</v>
          </cell>
          <cell r="E123">
            <v>9.8251058394019797</v>
          </cell>
          <cell r="F123">
            <v>34.131182710484126</v>
          </cell>
          <cell r="G123">
            <v>106.1374343906899</v>
          </cell>
          <cell r="H123">
            <v>476.22135838695476</v>
          </cell>
          <cell r="I123">
            <v>159.36222570733798</v>
          </cell>
          <cell r="J123">
            <v>1.2886655923988801E-2</v>
          </cell>
        </row>
        <row r="124">
          <cell r="B124" t="str">
            <v>CO2_T</v>
          </cell>
          <cell r="C124" t="str">
            <v>VAR_fout</v>
          </cell>
          <cell r="D124" t="str">
            <v>T_C-HY-DSL-S1</v>
          </cell>
          <cell r="E124">
            <v>2.4688222416475399E-3</v>
          </cell>
          <cell r="F124">
            <v>16.906508657324608</v>
          </cell>
          <cell r="G124">
            <v>12.832990508156849</v>
          </cell>
          <cell r="H124">
            <v>15.483878581785568</v>
          </cell>
          <cell r="I124">
            <v>52.553736207753481</v>
          </cell>
          <cell r="J124">
            <v>7.94516722106379E-3</v>
          </cell>
        </row>
        <row r="125">
          <cell r="B125" t="str">
            <v>CO2_T</v>
          </cell>
          <cell r="C125" t="str">
            <v>VAR_fout</v>
          </cell>
          <cell r="D125" t="str">
            <v>T_C-HY-GSL-S3</v>
          </cell>
          <cell r="E125">
            <v>7.3116073465738189</v>
          </cell>
          <cell r="F125">
            <v>40.606898898542966</v>
          </cell>
          <cell r="G125">
            <v>38.595804065155583</v>
          </cell>
          <cell r="H125">
            <v>30.836683062985589</v>
          </cell>
          <cell r="I125">
            <v>9.1778626681008307E-2</v>
          </cell>
          <cell r="J125">
            <v>1.0938835902081931E-2</v>
          </cell>
        </row>
        <row r="126">
          <cell r="B126" t="str">
            <v>CO2_T</v>
          </cell>
          <cell r="C126" t="str">
            <v>VAR_fout</v>
          </cell>
          <cell r="D126" t="str">
            <v>T_C-HY-DSL-S2</v>
          </cell>
          <cell r="E126">
            <v>0.19567799630778412</v>
          </cell>
          <cell r="F126">
            <v>29.681101805279489</v>
          </cell>
          <cell r="G126">
            <v>86.646806071561173</v>
          </cell>
          <cell r="H126">
            <v>435.46052595028721</v>
          </cell>
          <cell r="I126">
            <v>179.35878145175542</v>
          </cell>
          <cell r="J126">
            <v>8.4405739414669407E-3</v>
          </cell>
        </row>
        <row r="127">
          <cell r="B127" t="str">
            <v>CO2_T</v>
          </cell>
          <cell r="C127" t="str">
            <v>VAR_fout</v>
          </cell>
          <cell r="D127" t="str">
            <v>T_C-HY-GSL-S4</v>
          </cell>
          <cell r="E127">
            <v>6.678148019389555</v>
          </cell>
          <cell r="F127">
            <v>10.200967773838009</v>
          </cell>
          <cell r="G127">
            <v>9.8314964161793714</v>
          </cell>
          <cell r="H127">
            <v>8.2803098303607534</v>
          </cell>
          <cell r="I127">
            <v>0.11699139349808013</v>
          </cell>
          <cell r="J127">
            <v>1.543943747044234E-2</v>
          </cell>
        </row>
        <row r="128">
          <cell r="B128" t="str">
            <v>CO2_T</v>
          </cell>
          <cell r="C128" t="str">
            <v>VAR_fout</v>
          </cell>
          <cell r="D128" t="str">
            <v>T_C-HY-DSL-S3</v>
          </cell>
          <cell r="E128">
            <v>2.0098763807010886</v>
          </cell>
          <cell r="F128">
            <v>3.44353262997359</v>
          </cell>
          <cell r="G128">
            <v>3.3437958391070142</v>
          </cell>
          <cell r="H128">
            <v>2.6362079414470432</v>
          </cell>
          <cell r="I128">
            <v>9.0160223101761722E-2</v>
          </cell>
          <cell r="J128">
            <v>7.9199270885912595E-3</v>
          </cell>
        </row>
        <row r="129">
          <cell r="B129" t="str">
            <v>CO2_T</v>
          </cell>
          <cell r="C129" t="str">
            <v>VAR_fout</v>
          </cell>
          <cell r="D129" t="str">
            <v>T_C-HY-DSL-S4</v>
          </cell>
          <cell r="E129">
            <v>2.576632162785061</v>
          </cell>
          <cell r="F129">
            <v>5.408148299424413</v>
          </cell>
          <cell r="G129">
            <v>5.1714873073205405</v>
          </cell>
          <cell r="H129">
            <v>4.3711919710531841</v>
          </cell>
          <cell r="I129">
            <v>0.11010568738826784</v>
          </cell>
          <cell r="J129">
            <v>1.0515563809517629E-2</v>
          </cell>
        </row>
        <row r="130">
          <cell r="B130" t="str">
            <v>CO2_T</v>
          </cell>
          <cell r="C130" t="str">
            <v>VAR_fout</v>
          </cell>
          <cell r="D130" t="str">
            <v>TFHGV-HYBDSL</v>
          </cell>
          <cell r="F130">
            <v>82.347736823150399</v>
          </cell>
          <cell r="G130">
            <v>305.93861804883761</v>
          </cell>
          <cell r="H130">
            <v>817.38142560870517</v>
          </cell>
          <cell r="I130">
            <v>233.16303947151337</v>
          </cell>
          <cell r="J130">
            <v>20.014208875963558</v>
          </cell>
        </row>
        <row r="131">
          <cell r="B131" t="str">
            <v>CO2_T</v>
          </cell>
          <cell r="C131" t="str">
            <v>VAR_fout</v>
          </cell>
          <cell r="D131" t="str">
            <v>TFHGV-ICEDSL</v>
          </cell>
          <cell r="E131">
            <v>386.54219450000431</v>
          </cell>
          <cell r="F131">
            <v>452.63501849004615</v>
          </cell>
          <cell r="G131">
            <v>352.74968185436001</v>
          </cell>
          <cell r="H131">
            <v>32.764101928979422</v>
          </cell>
          <cell r="I131">
            <v>2.0118996257175021E-2</v>
          </cell>
          <cell r="J131">
            <v>2.0836766374911402E-3</v>
          </cell>
        </row>
        <row r="132">
          <cell r="B132" t="str">
            <v>CO2_T</v>
          </cell>
          <cell r="C132" t="str">
            <v>VAR_fout</v>
          </cell>
          <cell r="D132" t="str">
            <v>T-Plg-DSL-mix_S1</v>
          </cell>
          <cell r="E132">
            <v>1.35363690503027E-3</v>
          </cell>
          <cell r="F132">
            <v>8.8130518923333095E-2</v>
          </cell>
          <cell r="G132">
            <v>0.173815941854916</v>
          </cell>
          <cell r="H132">
            <v>0.18405585146941372</v>
          </cell>
          <cell r="I132">
            <v>9.8055740217231555E-2</v>
          </cell>
          <cell r="J132">
            <v>2.416446954594248E-2</v>
          </cell>
        </row>
        <row r="133">
          <cell r="B133" t="str">
            <v>CO2_T</v>
          </cell>
          <cell r="C133" t="str">
            <v>VAR_fout</v>
          </cell>
          <cell r="D133" t="str">
            <v>T-Plg-DSL-mix_S2</v>
          </cell>
          <cell r="E133">
            <v>1.6261252284671E-3</v>
          </cell>
          <cell r="F133">
            <v>0.1309291030017195</v>
          </cell>
          <cell r="G133">
            <v>0.35877164855266303</v>
          </cell>
          <cell r="H133">
            <v>0.4478130183023783</v>
          </cell>
          <cell r="I133">
            <v>0.3194499436454919</v>
          </cell>
          <cell r="J133">
            <v>5.0218993890652111E-2</v>
          </cell>
        </row>
        <row r="134">
          <cell r="B134" t="str">
            <v>CO2_T</v>
          </cell>
          <cell r="C134" t="str">
            <v>VAR_fout</v>
          </cell>
          <cell r="D134" t="str">
            <v>T-Plg-DSL-mix_S3</v>
          </cell>
          <cell r="E134">
            <v>9.3082310028382402E-3</v>
          </cell>
          <cell r="F134">
            <v>1.3326915944534221</v>
          </cell>
          <cell r="G134">
            <v>104.08330747813378</v>
          </cell>
          <cell r="H134">
            <v>273.87768180545811</v>
          </cell>
          <cell r="I134">
            <v>254.73053927163352</v>
          </cell>
          <cell r="J134">
            <v>24.07169548189756</v>
          </cell>
        </row>
        <row r="135">
          <cell r="B135" t="str">
            <v>CO2_T</v>
          </cell>
          <cell r="C135" t="str">
            <v>VAR_fout</v>
          </cell>
          <cell r="D135" t="str">
            <v>T_B_c-ICEDSL-S1</v>
          </cell>
          <cell r="E135">
            <v>8.2927494022781687</v>
          </cell>
          <cell r="F135">
            <v>22.442949648142722</v>
          </cell>
          <cell r="G135">
            <v>27.258640178030401</v>
          </cell>
          <cell r="I135">
            <v>7.6311386472886268E-4</v>
          </cell>
          <cell r="J135">
            <v>1.3008441271755299E-4</v>
          </cell>
        </row>
        <row r="136">
          <cell r="B136" t="str">
            <v>CO2_T</v>
          </cell>
          <cell r="C136" t="str">
            <v>VAR_fout</v>
          </cell>
          <cell r="D136" t="str">
            <v>T-Plg-DSL-mix_S4</v>
          </cell>
          <cell r="E136">
            <v>0.42013934605494802</v>
          </cell>
          <cell r="F136">
            <v>1.7021946974059761</v>
          </cell>
          <cell r="G136">
            <v>2.1875096284916022</v>
          </cell>
          <cell r="H136">
            <v>1.9010121204219934</v>
          </cell>
          <cell r="I136">
            <v>0.4675714000983327</v>
          </cell>
          <cell r="J136">
            <v>7.0776346710548652E-2</v>
          </cell>
        </row>
        <row r="137">
          <cell r="B137" t="str">
            <v>CO2_T</v>
          </cell>
          <cell r="C137" t="str">
            <v>VAR_fout</v>
          </cell>
          <cell r="D137" t="str">
            <v>T_B_c-ICEDSL-S2</v>
          </cell>
          <cell r="E137">
            <v>38.029050956295798</v>
          </cell>
          <cell r="F137">
            <v>29.206966973103693</v>
          </cell>
          <cell r="G137">
            <v>33.866442890214543</v>
          </cell>
          <cell r="I137">
            <v>1.5776552055070091E-3</v>
          </cell>
        </row>
        <row r="138">
          <cell r="B138" t="str">
            <v>CO2_T</v>
          </cell>
          <cell r="C138" t="str">
            <v>VAR_fout</v>
          </cell>
          <cell r="D138" t="str">
            <v>T_B_c-ICEDSL-S3</v>
          </cell>
          <cell r="E138">
            <v>11.75834490982013</v>
          </cell>
          <cell r="F138">
            <v>9.3226884769201419</v>
          </cell>
          <cell r="G138">
            <v>10.508982830340253</v>
          </cell>
          <cell r="I138">
            <v>1.0922386352713251E-3</v>
          </cell>
        </row>
        <row r="139">
          <cell r="B139" t="str">
            <v>CO2_T</v>
          </cell>
          <cell r="C139" t="str">
            <v>VAR_fout</v>
          </cell>
          <cell r="D139" t="str">
            <v>T_B_c-ICEDSL-S4</v>
          </cell>
          <cell r="E139">
            <v>1.1515885765761351</v>
          </cell>
          <cell r="F139">
            <v>6.6428969534667467E-2</v>
          </cell>
          <cell r="G139">
            <v>8.4282521705361949E-2</v>
          </cell>
          <cell r="I139">
            <v>1.9226442858310178E-4</v>
          </cell>
        </row>
        <row r="140">
          <cell r="B140" t="str">
            <v>CO2_T</v>
          </cell>
          <cell r="C140" t="str">
            <v>VAR_fout</v>
          </cell>
          <cell r="D140" t="str">
            <v>T_B_u-ICENGA-S1</v>
          </cell>
          <cell r="F140">
            <v>5.7603309046111396E-3</v>
          </cell>
          <cell r="G140">
            <v>5.9869702225117061E-2</v>
          </cell>
          <cell r="H140">
            <v>2.275351471987634E-3</v>
          </cell>
          <cell r="I140">
            <v>2.4895794044402413E-3</v>
          </cell>
          <cell r="J140">
            <v>1.3632242856886569E-3</v>
          </cell>
        </row>
        <row r="141">
          <cell r="B141" t="str">
            <v>CO2_T</v>
          </cell>
          <cell r="C141" t="str">
            <v>VAR_fout</v>
          </cell>
          <cell r="D141" t="str">
            <v>T_B_u-ICENGA-S2</v>
          </cell>
          <cell r="F141">
            <v>2.5469222584133802E-3</v>
          </cell>
          <cell r="G141">
            <v>0.12729024726312485</v>
          </cell>
          <cell r="H141">
            <v>1.9936863562504967E-3</v>
          </cell>
          <cell r="I141">
            <v>1.7828917851633284E-3</v>
          </cell>
          <cell r="J141">
            <v>4.2547048287099597E-5</v>
          </cell>
        </row>
        <row r="142">
          <cell r="B142" t="str">
            <v>CO2_T</v>
          </cell>
          <cell r="C142" t="str">
            <v>VAR_fout</v>
          </cell>
          <cell r="D142" t="str">
            <v>T_B_c-ICEDSLEXT</v>
          </cell>
          <cell r="E142">
            <v>0.44178176969886701</v>
          </cell>
          <cell r="F142">
            <v>0.44084263887752001</v>
          </cell>
          <cell r="G142">
            <v>0.43764377589721198</v>
          </cell>
        </row>
        <row r="143">
          <cell r="B143" t="str">
            <v>CO2_T</v>
          </cell>
          <cell r="C143" t="str">
            <v>VAR_fout</v>
          </cell>
          <cell r="D143" t="str">
            <v>T_B_u-ICENGA-S3</v>
          </cell>
          <cell r="F143">
            <v>2.5178085786193298E-3</v>
          </cell>
          <cell r="G143">
            <v>1.2035553119810245</v>
          </cell>
          <cell r="H143">
            <v>7.8299104595133812E-3</v>
          </cell>
          <cell r="I143">
            <v>3.24297647197214E-3</v>
          </cell>
        </row>
        <row r="144">
          <cell r="B144" t="str">
            <v>CO2_T</v>
          </cell>
          <cell r="C144" t="str">
            <v>VAR_fout</v>
          </cell>
          <cell r="D144" t="str">
            <v>T_B_u-ICENGA-S4</v>
          </cell>
          <cell r="G144">
            <v>6.6765580240453794E-3</v>
          </cell>
          <cell r="H144">
            <v>1.2331423201063701E-4</v>
          </cell>
          <cell r="I144">
            <v>1.8069118316377769E-3</v>
          </cell>
        </row>
        <row r="145">
          <cell r="B145" t="str">
            <v>CO2_T</v>
          </cell>
          <cell r="C145" t="str">
            <v>VAR_comnet</v>
          </cell>
          <cell r="D145" t="str">
            <v>-</v>
          </cell>
          <cell r="E145">
            <v>15069.3896479224</v>
          </cell>
          <cell r="F145">
            <v>14594.2025223323</v>
          </cell>
          <cell r="G145">
            <v>13008.845862504701</v>
          </cell>
          <cell r="H145">
            <v>10419.9668501089</v>
          </cell>
          <cell r="I145">
            <v>3137.2752213741201</v>
          </cell>
          <cell r="J145">
            <v>1412.5275963536501</v>
          </cell>
        </row>
        <row r="146">
          <cell r="B146" t="str">
            <v>CO2</v>
          </cell>
          <cell r="C146" t="str">
            <v>VAR_fout</v>
          </cell>
          <cell r="D146" t="str">
            <v>EWSTINCCS</v>
          </cell>
          <cell r="I146">
            <v>-8.1528352590009207E-2</v>
          </cell>
          <cell r="J146">
            <v>-1152.33615054233</v>
          </cell>
        </row>
        <row r="147">
          <cell r="B147" t="str">
            <v>CO2</v>
          </cell>
          <cell r="C147" t="str">
            <v>VAR_fout</v>
          </cell>
          <cell r="D147" t="str">
            <v>othGHG</v>
          </cell>
          <cell r="E147">
            <v>9468.5879275113693</v>
          </cell>
          <cell r="F147">
            <v>9016.1699007544594</v>
          </cell>
          <cell r="G147">
            <v>8563.7518739975894</v>
          </cell>
          <cell r="H147">
            <v>8789.9347338764892</v>
          </cell>
          <cell r="I147">
            <v>8584.8595053382305</v>
          </cell>
          <cell r="J147">
            <v>4842.6958748786501</v>
          </cell>
        </row>
        <row r="148">
          <cell r="B148" t="str">
            <v>CO2</v>
          </cell>
          <cell r="C148" t="str">
            <v>VAR_fout</v>
          </cell>
          <cell r="D148" t="str">
            <v>D-ICOA</v>
          </cell>
          <cell r="E148">
            <v>330.01846738584402</v>
          </cell>
          <cell r="F148">
            <v>321.180805337528</v>
          </cell>
          <cell r="G148">
            <v>126.803962647928</v>
          </cell>
          <cell r="H148">
            <v>8.9577903678774405E-3</v>
          </cell>
          <cell r="I148">
            <v>1.0821746663033E-2</v>
          </cell>
          <cell r="J148">
            <v>7.8048515867489596E-4</v>
          </cell>
        </row>
        <row r="149">
          <cell r="B149" t="str">
            <v>CO2</v>
          </cell>
          <cell r="C149" t="str">
            <v>VAR_fout</v>
          </cell>
          <cell r="D149" t="str">
            <v>ENGA-CCS</v>
          </cell>
          <cell r="I149">
            <v>-3.74392205345472E-2</v>
          </cell>
          <cell r="J149">
            <v>-62.386123804942699</v>
          </cell>
        </row>
        <row r="150">
          <cell r="B150" t="str">
            <v>CO2</v>
          </cell>
          <cell r="C150" t="str">
            <v>VAR_fout</v>
          </cell>
          <cell r="D150" t="str">
            <v>CHPWSTCCS</v>
          </cell>
          <cell r="I150">
            <v>-8.0011803040532403E-2</v>
          </cell>
          <cell r="J150">
            <v>-1099.4994329312899</v>
          </cell>
        </row>
        <row r="151">
          <cell r="B151" t="str">
            <v>CO2</v>
          </cell>
          <cell r="C151" t="str">
            <v>VAR_fout</v>
          </cell>
          <cell r="D151" t="str">
            <v>D-ENGA</v>
          </cell>
          <cell r="E151">
            <v>312.29863575748698</v>
          </cell>
          <cell r="F151">
            <v>156.21784589363301</v>
          </cell>
          <cell r="G151">
            <v>197.04709411991601</v>
          </cell>
          <cell r="H151">
            <v>292.76549090933798</v>
          </cell>
          <cell r="I151">
            <v>106.79455137965201</v>
          </cell>
          <cell r="J151">
            <v>2.91986273351058E-3</v>
          </cell>
        </row>
        <row r="152">
          <cell r="B152" t="str">
            <v>CO2</v>
          </cell>
          <cell r="C152" t="str">
            <v>VAR_fout</v>
          </cell>
          <cell r="D152" t="str">
            <v>D-ILFO</v>
          </cell>
          <cell r="E152">
            <v>689.88023414805502</v>
          </cell>
          <cell r="F152">
            <v>659.57730291408404</v>
          </cell>
          <cell r="G152">
            <v>597.94327486664304</v>
          </cell>
          <cell r="H152">
            <v>470.79995173837898</v>
          </cell>
          <cell r="I152">
            <v>179.17851926010499</v>
          </cell>
          <cell r="J152">
            <v>1.14406678394213E-3</v>
          </cell>
        </row>
        <row r="153">
          <cell r="B153" t="str">
            <v>CO2</v>
          </cell>
          <cell r="C153" t="str">
            <v>VAR_fout</v>
          </cell>
          <cell r="D153" t="str">
            <v>ITOT-CHPWSTCCS</v>
          </cell>
          <cell r="I153">
            <v>-3.4905463020559302E-2</v>
          </cell>
          <cell r="J153">
            <v>-722.30819391590001</v>
          </cell>
        </row>
        <row r="154">
          <cell r="B154" t="str">
            <v>CO2</v>
          </cell>
          <cell r="C154" t="str">
            <v>VAR_fout</v>
          </cell>
          <cell r="D154" t="str">
            <v>ITOT-CHPNGACCS</v>
          </cell>
          <cell r="I154">
            <v>-4.7855551046271101E-2</v>
          </cell>
          <cell r="J154">
            <v>-8.0504061188859499E-2</v>
          </cell>
        </row>
        <row r="155">
          <cell r="B155" t="str">
            <v>CO2</v>
          </cell>
          <cell r="C155" t="str">
            <v>VAR_fout</v>
          </cell>
          <cell r="D155" t="str">
            <v>D-TDSL</v>
          </cell>
          <cell r="E155">
            <v>8820.2596000822905</v>
          </cell>
          <cell r="F155">
            <v>8259.8875707567695</v>
          </cell>
          <cell r="G155">
            <v>7143.3732555658898</v>
          </cell>
          <cell r="H155">
            <v>5314.6582970528598</v>
          </cell>
          <cell r="I155">
            <v>1949.66647475025</v>
          </cell>
          <cell r="J155">
            <v>239.91443410640301</v>
          </cell>
        </row>
        <row r="156">
          <cell r="B156" t="str">
            <v>CO2</v>
          </cell>
          <cell r="C156" t="str">
            <v>VAR_fout</v>
          </cell>
          <cell r="D156" t="str">
            <v>ITOT-PROCESSCO2</v>
          </cell>
          <cell r="E156">
            <v>2089.34680048464</v>
          </cell>
          <cell r="F156">
            <v>2111.0131698740802</v>
          </cell>
          <cell r="G156">
            <v>2102.26947106126</v>
          </cell>
          <cell r="H156">
            <v>2093.6584239297399</v>
          </cell>
          <cell r="I156">
            <v>2077.42147101112</v>
          </cell>
          <cell r="J156">
            <v>2063.7512961544098</v>
          </cell>
        </row>
        <row r="157">
          <cell r="B157" t="str">
            <v>CO2</v>
          </cell>
          <cell r="C157" t="str">
            <v>VAR_fout</v>
          </cell>
          <cell r="D157" t="str">
            <v>D-ELFO</v>
          </cell>
          <cell r="E157">
            <v>28.468387623636701</v>
          </cell>
          <cell r="F157">
            <v>266.33151944602599</v>
          </cell>
          <cell r="G157">
            <v>40.456467007047301</v>
          </cell>
          <cell r="H157">
            <v>0.170801694078516</v>
          </cell>
          <cell r="I157">
            <v>0.14036469710226099</v>
          </cell>
          <cell r="J157">
            <v>2.5779000631679899E-2</v>
          </cell>
        </row>
        <row r="158">
          <cell r="B158" t="str">
            <v>CO2</v>
          </cell>
          <cell r="C158" t="str">
            <v>VAR_fout</v>
          </cell>
          <cell r="D158" t="str">
            <v>D-TNGA</v>
          </cell>
          <cell r="E158">
            <v>12.6065643384434</v>
          </cell>
          <cell r="F158">
            <v>3.8997492940149101</v>
          </cell>
          <cell r="G158">
            <v>8.0019768596369403</v>
          </cell>
          <cell r="H158">
            <v>0.33936831779759802</v>
          </cell>
          <cell r="I158">
            <v>0.15265419715385001</v>
          </cell>
          <cell r="J158">
            <v>3.4413815002981803E-2</v>
          </cell>
        </row>
        <row r="159">
          <cell r="B159" t="str">
            <v>CO2</v>
          </cell>
          <cell r="C159" t="str">
            <v>VAR_fout</v>
          </cell>
          <cell r="D159" t="str">
            <v>D-SNGA</v>
          </cell>
          <cell r="E159">
            <v>1523.7325557680699</v>
          </cell>
          <cell r="F159">
            <v>1502.46001948503</v>
          </cell>
          <cell r="G159">
            <v>1291.8314900717501</v>
          </cell>
          <cell r="H159">
            <v>873.10199683864596</v>
          </cell>
          <cell r="I159">
            <v>205.27419983798299</v>
          </cell>
          <cell r="J159">
            <v>7.9009560130717196</v>
          </cell>
        </row>
        <row r="160">
          <cell r="B160" t="str">
            <v>CO2</v>
          </cell>
          <cell r="C160" t="str">
            <v>VAR_fout</v>
          </cell>
          <cell r="D160" t="str">
            <v>CO2compabroad</v>
          </cell>
          <cell r="H160">
            <v>-4211.59392264297</v>
          </cell>
          <cell r="I160">
            <v>-4242.8198839447496</v>
          </cell>
          <cell r="J160">
            <v>-4842.6958748786501</v>
          </cell>
        </row>
        <row r="161">
          <cell r="B161" t="str">
            <v>CO2</v>
          </cell>
          <cell r="C161" t="str">
            <v>VAR_fout</v>
          </cell>
          <cell r="D161" t="str">
            <v>D-RNGA</v>
          </cell>
          <cell r="E161">
            <v>2654.7000088721002</v>
          </cell>
          <cell r="F161">
            <v>2593.5849153971299</v>
          </cell>
          <cell r="G161">
            <v>2598.6827264743301</v>
          </cell>
          <cell r="H161">
            <v>2103.0964389215401</v>
          </cell>
          <cell r="I161">
            <v>678.67845791849095</v>
          </cell>
          <cell r="J161">
            <v>8.77278227189605</v>
          </cell>
        </row>
        <row r="162">
          <cell r="B162" t="str">
            <v>CO2</v>
          </cell>
          <cell r="C162" t="str">
            <v>VAR_fout</v>
          </cell>
          <cell r="D162" t="str">
            <v>D-IHFO</v>
          </cell>
          <cell r="E162">
            <v>213.78305476884199</v>
          </cell>
          <cell r="F162">
            <v>212.86147547753001</v>
          </cell>
          <cell r="G162">
            <v>0.56703218110253595</v>
          </cell>
          <cell r="H162">
            <v>1.1974056478756901E-2</v>
          </cell>
          <cell r="I162">
            <v>1.18454943358313E-2</v>
          </cell>
        </row>
        <row r="163">
          <cell r="B163" t="str">
            <v>CO2</v>
          </cell>
          <cell r="C163" t="str">
            <v>VAR_fout</v>
          </cell>
          <cell r="D163" t="str">
            <v>SUP_WSTHTGBIOCCS</v>
          </cell>
          <cell r="I163">
            <v>-4.0467832943331004E-3</v>
          </cell>
          <cell r="J163">
            <v>-4.5526899524344504</v>
          </cell>
        </row>
        <row r="164">
          <cell r="B164" t="str">
            <v>CO2</v>
          </cell>
          <cell r="C164" t="str">
            <v>VAR_fout</v>
          </cell>
          <cell r="D164" t="str">
            <v>D-SLFO</v>
          </cell>
          <cell r="E164">
            <v>2267.78912645133</v>
          </cell>
          <cell r="F164">
            <v>1754.7395412978101</v>
          </cell>
          <cell r="G164">
            <v>1888.8421584524799</v>
          </cell>
          <cell r="H164">
            <v>944.88033551678905</v>
          </cell>
          <cell r="I164">
            <v>186.25898926752899</v>
          </cell>
          <cell r="J164">
            <v>3.2268183876407899E-3</v>
          </cell>
        </row>
        <row r="165">
          <cell r="B165" t="str">
            <v>CO2</v>
          </cell>
          <cell r="C165" t="str">
            <v>VAR_fout</v>
          </cell>
          <cell r="D165" t="str">
            <v>D-RCOA</v>
          </cell>
          <cell r="E165">
            <v>9.2711939547168996</v>
          </cell>
          <cell r="F165">
            <v>9.2705897384879403</v>
          </cell>
          <cell r="G165">
            <v>2.44202474489285</v>
          </cell>
        </row>
        <row r="166">
          <cell r="B166" t="str">
            <v>CO2</v>
          </cell>
          <cell r="C166" t="str">
            <v>VAR_fout</v>
          </cell>
          <cell r="D166" t="str">
            <v>ITOT-CHPWODCCS</v>
          </cell>
          <cell r="I166">
            <v>-280.86856081131401</v>
          </cell>
          <cell r="J166">
            <v>-653.39047147397002</v>
          </cell>
        </row>
        <row r="167">
          <cell r="B167" t="str">
            <v>CO2</v>
          </cell>
          <cell r="C167" t="str">
            <v>VAR_fout</v>
          </cell>
          <cell r="D167" t="str">
            <v>D-RLFO</v>
          </cell>
          <cell r="E167">
            <v>4514.4907642769003</v>
          </cell>
          <cell r="F167">
            <v>3820.6652550645599</v>
          </cell>
          <cell r="G167">
            <v>3635.0251747873199</v>
          </cell>
          <cell r="H167">
            <v>1600.04470374419</v>
          </cell>
          <cell r="I167">
            <v>237.91100371300001</v>
          </cell>
          <cell r="J167">
            <v>4.8702979698773703E-3</v>
          </cell>
        </row>
        <row r="168">
          <cell r="B168" t="str">
            <v>CO2</v>
          </cell>
          <cell r="C168" t="str">
            <v>VAR_fout</v>
          </cell>
          <cell r="D168" t="str">
            <v>D-TGSL</v>
          </cell>
          <cell r="E168">
            <v>5820.8304410505398</v>
          </cell>
          <cell r="F168">
            <v>5883.4654783866599</v>
          </cell>
          <cell r="G168">
            <v>5311.4669381252297</v>
          </cell>
          <cell r="H168">
            <v>4560.1525233268703</v>
          </cell>
          <cell r="I168">
            <v>650.93627024740704</v>
          </cell>
          <cell r="J168">
            <v>34.041809100619297</v>
          </cell>
        </row>
        <row r="169">
          <cell r="B169" t="str">
            <v>CO2</v>
          </cell>
          <cell r="C169" t="str">
            <v>VAR_fout</v>
          </cell>
          <cell r="D169" t="str">
            <v>EWOD-CCS</v>
          </cell>
          <cell r="I169">
            <v>-3.9635888887465498E-2</v>
          </cell>
          <cell r="J169">
            <v>-301.23815423143401</v>
          </cell>
        </row>
        <row r="170">
          <cell r="B170" t="str">
            <v>CO2</v>
          </cell>
          <cell r="C170" t="str">
            <v>VAR_fout</v>
          </cell>
          <cell r="D170" t="str">
            <v>ITOT-PROCESSCO2CCS</v>
          </cell>
          <cell r="I170">
            <v>-6.1222863012156603E-3</v>
          </cell>
          <cell r="J170">
            <v>-773.51057987077604</v>
          </cell>
        </row>
        <row r="171">
          <cell r="B171" t="str">
            <v>CO2</v>
          </cell>
          <cell r="C171" t="str">
            <v>VAR_fout</v>
          </cell>
          <cell r="D171" t="str">
            <v>D-IWST</v>
          </cell>
          <cell r="E171">
            <v>1068.1363853973701</v>
          </cell>
          <cell r="F171">
            <v>1094.4836027838201</v>
          </cell>
          <cell r="G171">
            <v>1024.6425765415399</v>
          </cell>
          <cell r="H171">
            <v>1013.19809752045</v>
          </cell>
          <cell r="I171">
            <v>1006.6665644605</v>
          </cell>
          <cell r="J171">
            <v>996.45168604134301</v>
          </cell>
        </row>
        <row r="172">
          <cell r="B172" t="str">
            <v>CO2</v>
          </cell>
          <cell r="C172" t="str">
            <v>VAR_fout</v>
          </cell>
          <cell r="D172" t="str">
            <v>SUP_WODH2CCS</v>
          </cell>
          <cell r="J172">
            <v>-844.649857962954</v>
          </cell>
        </row>
        <row r="173">
          <cell r="B173" t="str">
            <v>CO2</v>
          </cell>
          <cell r="C173" t="str">
            <v>VAR_fout</v>
          </cell>
          <cell r="D173" t="str">
            <v>SUP_WODBIOCCS</v>
          </cell>
          <cell r="I173">
            <v>-1.7489488463811601E-2</v>
          </cell>
          <cell r="J173">
            <v>-27.521561285552199</v>
          </cell>
        </row>
        <row r="174">
          <cell r="B174" t="str">
            <v>CO2</v>
          </cell>
          <cell r="C174" t="str">
            <v>VAR_fout</v>
          </cell>
          <cell r="D174" t="str">
            <v>SUP_NGAH2CCS</v>
          </cell>
          <cell r="J174">
            <v>-2.6188096920448699E-3</v>
          </cell>
        </row>
        <row r="175">
          <cell r="B175" t="str">
            <v>CO2</v>
          </cell>
          <cell r="C175" t="str">
            <v>VAR_fout</v>
          </cell>
          <cell r="D175" t="str">
            <v>CT_CWODETHCCS</v>
          </cell>
          <cell r="I175">
            <v>-3.9650743890769902E-4</v>
          </cell>
          <cell r="J175">
            <v>-1.6525682290281999E-4</v>
          </cell>
        </row>
        <row r="176">
          <cell r="B176" t="str">
            <v>CO2</v>
          </cell>
          <cell r="C176" t="str">
            <v>VAR_fout</v>
          </cell>
          <cell r="D176" t="str">
            <v>D-TKER</v>
          </cell>
          <cell r="E176">
            <v>80.549753106399805</v>
          </cell>
          <cell r="F176">
            <v>102.29912271804599</v>
          </cell>
          <cell r="G176">
            <v>134.59505663455201</v>
          </cell>
          <cell r="H176">
            <v>142.82863938474</v>
          </cell>
          <cell r="I176">
            <v>25.358428698837301</v>
          </cell>
          <cell r="J176">
            <v>1.2513711649375E-5</v>
          </cell>
        </row>
        <row r="177">
          <cell r="B177" t="str">
            <v>CO2</v>
          </cell>
          <cell r="C177" t="str">
            <v>VAR_fout</v>
          </cell>
          <cell r="D177" t="str">
            <v>D-INGA</v>
          </cell>
          <cell r="E177">
            <v>2102.3858148187301</v>
          </cell>
          <cell r="F177">
            <v>1762.8667066160999</v>
          </cell>
          <cell r="G177">
            <v>1904.68800024494</v>
          </cell>
          <cell r="H177">
            <v>1302.39333566806</v>
          </cell>
          <cell r="I177">
            <v>316.89343350191803</v>
          </cell>
          <cell r="J177">
            <v>2.3895828549033902E-3</v>
          </cell>
        </row>
        <row r="178">
          <cell r="B178" t="str">
            <v>CO2</v>
          </cell>
          <cell r="C178" t="str">
            <v>VAR_fout</v>
          </cell>
          <cell r="D178" t="str">
            <v>SUP_DAC</v>
          </cell>
          <cell r="I178">
            <v>-1.9210195111377E-3</v>
          </cell>
          <cell r="J178">
            <v>-5.9423579808010697E-2</v>
          </cell>
        </row>
        <row r="179">
          <cell r="B179" t="str">
            <v>CO2</v>
          </cell>
          <cell r="C179" t="str">
            <v>VAR_fout</v>
          </cell>
          <cell r="D179" t="str">
            <v>CT_CWODBDSCCS</v>
          </cell>
          <cell r="I179">
            <v>-6.6873267533560299E-3</v>
          </cell>
          <cell r="J179">
            <v>-49.939100135273598</v>
          </cell>
        </row>
        <row r="180">
          <cell r="B180" t="str">
            <v>CO2</v>
          </cell>
          <cell r="C180" t="str">
            <v>VAR_fout</v>
          </cell>
          <cell r="D180" t="str">
            <v>D-EWST</v>
          </cell>
          <cell r="E180">
            <v>2266.2774200880499</v>
          </cell>
          <cell r="F180">
            <v>2235.4037783806898</v>
          </cell>
          <cell r="G180">
            <v>2268.7804569479399</v>
          </cell>
          <cell r="H180">
            <v>2238.51245301885</v>
          </cell>
          <cell r="I180">
            <v>2288.7615342296799</v>
          </cell>
          <cell r="J180">
            <v>2340.5669677109199</v>
          </cell>
        </row>
        <row r="181">
          <cell r="B181" t="str">
            <v>CO2</v>
          </cell>
          <cell r="C181" t="str">
            <v>VAR_comnet</v>
          </cell>
          <cell r="D181" t="str">
            <v>-</v>
          </cell>
          <cell r="E181">
            <v>44273.413135884803</v>
          </cell>
          <cell r="F181">
            <v>41766.378349616498</v>
          </cell>
          <cell r="G181">
            <v>38841.211011332001</v>
          </cell>
          <cell r="H181">
            <v>27528.9626006627</v>
          </cell>
          <cell r="I181">
            <v>13970.922217085899</v>
          </cell>
          <cell r="J181">
            <v>-1.45645526357827E-5</v>
          </cell>
        </row>
        <row r="182">
          <cell r="B182" t="str">
            <v>CO2</v>
          </cell>
          <cell r="C182" t="str">
            <v>EQ_combalM</v>
          </cell>
          <cell r="D182" t="str">
            <v>-</v>
          </cell>
          <cell r="H182">
            <v>-5.75283197763942E-2</v>
          </cell>
          <cell r="I182">
            <v>-0.139253358397117</v>
          </cell>
          <cell r="J182">
            <v>-2.5494630628788699</v>
          </cell>
        </row>
        <row r="183">
          <cell r="B183" t="str">
            <v>CO2_X</v>
          </cell>
          <cell r="C183" t="str">
            <v>VAR_fout</v>
          </cell>
          <cell r="D183" t="str">
            <v>D-CO2_O</v>
          </cell>
          <cell r="J183">
            <v>5297.9588052677282</v>
          </cell>
        </row>
        <row r="184">
          <cell r="B184" t="str">
            <v>CO2_X</v>
          </cell>
          <cell r="C184" t="str">
            <v>VAR_fin</v>
          </cell>
          <cell r="D184" t="str">
            <v>CO2EXP</v>
          </cell>
          <cell r="J184">
            <v>5297.9588052677282</v>
          </cell>
        </row>
        <row r="185">
          <cell r="B185" t="str">
            <v>CO2_X</v>
          </cell>
          <cell r="C185" t="str">
            <v>EQ_combalM</v>
          </cell>
          <cell r="D185" t="str">
            <v>-</v>
          </cell>
          <cell r="I185">
            <v>-1834.4303535600548</v>
          </cell>
          <cell r="J185">
            <v>15.995331162713814</v>
          </cell>
        </row>
        <row r="186">
          <cell r="B186" t="str">
            <v>CO2_SECTOR</v>
          </cell>
          <cell r="C186" t="str">
            <v>VAR_fout</v>
          </cell>
          <cell r="D186" t="str">
            <v>CO2_IND</v>
          </cell>
          <cell r="E186">
            <v>6493.5507570034724</v>
          </cell>
          <cell r="F186">
            <v>6161.9830630031311</v>
          </cell>
          <cell r="G186">
            <v>5756.9143175434083</v>
          </cell>
          <cell r="H186">
            <v>4880.0707407034752</v>
          </cell>
          <cell r="I186">
            <v>3580.1826554746299</v>
          </cell>
          <cell r="J186">
            <v>3060.2072963305463</v>
          </cell>
        </row>
        <row r="187">
          <cell r="B187" t="str">
            <v>CO2_SECTOR</v>
          </cell>
          <cell r="C187" t="str">
            <v>VAR_fout</v>
          </cell>
          <cell r="D187" t="str">
            <v>CO2_RES</v>
          </cell>
          <cell r="E187">
            <v>7178.4619671037208</v>
          </cell>
          <cell r="F187">
            <v>6423.5207602001783</v>
          </cell>
          <cell r="G187">
            <v>6236.1499260065348</v>
          </cell>
          <cell r="H187">
            <v>3703.1411426657255</v>
          </cell>
          <cell r="I187">
            <v>916.58946163149119</v>
          </cell>
          <cell r="J187">
            <v>8.7776525698659302</v>
          </cell>
        </row>
        <row r="188">
          <cell r="B188" t="str">
            <v>CO2_SECTOR</v>
          </cell>
          <cell r="C188" t="str">
            <v>VAR_fout</v>
          </cell>
          <cell r="D188" t="str">
            <v>CO2_TRA</v>
          </cell>
          <cell r="E188">
            <v>14733.062590970063</v>
          </cell>
          <cell r="F188">
            <v>14248.048522534275</v>
          </cell>
          <cell r="G188">
            <v>12595.459204136907</v>
          </cell>
          <cell r="H188">
            <v>10015.879803439455</v>
          </cell>
          <cell r="I188">
            <v>2625.7411577697053</v>
          </cell>
          <cell r="J188">
            <v>273.9906693518339</v>
          </cell>
        </row>
        <row r="189">
          <cell r="B189" t="str">
            <v>CO2_SECTOR</v>
          </cell>
          <cell r="C189" t="str">
            <v>VAR_fout</v>
          </cell>
          <cell r="D189" t="str">
            <v>CO2_ELC</v>
          </cell>
          <cell r="E189">
            <v>2607.0444434691758</v>
          </cell>
          <cell r="F189">
            <v>2657.9531437203555</v>
          </cell>
          <cell r="G189">
            <v>2506.2840180748976</v>
          </cell>
          <cell r="H189">
            <v>2531.4487456222723</v>
          </cell>
          <cell r="I189">
            <v>2395.6964503064364</v>
          </cell>
          <cell r="J189">
            <v>2340.5956665742888</v>
          </cell>
        </row>
        <row r="190">
          <cell r="B190" t="str">
            <v>CO2_SECTOR</v>
          </cell>
          <cell r="C190" t="str">
            <v>VAR_fout</v>
          </cell>
          <cell r="D190" t="str">
            <v>CO2_SER</v>
          </cell>
          <cell r="E190">
            <v>3791.521682219402</v>
          </cell>
          <cell r="F190">
            <v>3257.1995607828362</v>
          </cell>
          <cell r="G190">
            <v>3180.6736485242332</v>
          </cell>
          <cell r="H190">
            <v>1817.9823323554338</v>
          </cell>
          <cell r="I190">
            <v>391.53318910551144</v>
          </cell>
          <cell r="J190">
            <v>7.9041828314593543</v>
          </cell>
        </row>
        <row r="191">
          <cell r="B191" t="str">
            <v>CO2_SECTOR</v>
          </cell>
          <cell r="C191" t="str">
            <v>VAR_fout</v>
          </cell>
          <cell r="D191" t="str">
            <v>CO2_ELCCCS</v>
          </cell>
          <cell r="E191">
            <v>2607.0444434691758</v>
          </cell>
          <cell r="F191">
            <v>2657.9531437203555</v>
          </cell>
          <cell r="G191">
            <v>2506.2840180748976</v>
          </cell>
          <cell r="H191">
            <v>2531.4487456222723</v>
          </cell>
          <cell r="I191">
            <v>2395.4533350117385</v>
          </cell>
          <cell r="J191">
            <v>-274.88728339262519</v>
          </cell>
        </row>
        <row r="192">
          <cell r="B192" t="str">
            <v>CO2_SECTOR</v>
          </cell>
          <cell r="C192" t="str">
            <v>VAR_fout</v>
          </cell>
          <cell r="D192" t="str">
            <v>CO2_H2CCS</v>
          </cell>
          <cell r="I192">
            <v>9.8815505583812208E-3</v>
          </cell>
          <cell r="J192">
            <v>-926.66347522810793</v>
          </cell>
        </row>
        <row r="193">
          <cell r="B193" t="str">
            <v>CO2_SECTOR</v>
          </cell>
          <cell r="C193" t="str">
            <v>VAR_fout</v>
          </cell>
          <cell r="D193" t="str">
            <v>CO2_INDCCS</v>
          </cell>
          <cell r="E193">
            <v>6493.5507570034724</v>
          </cell>
          <cell r="F193">
            <v>6161.983063003132</v>
          </cell>
          <cell r="G193">
            <v>5756.9143175434083</v>
          </cell>
          <cell r="H193">
            <v>4880.1120345352283</v>
          </cell>
          <cell r="I193">
            <v>3299.22632003535</v>
          </cell>
          <cell r="J193">
            <v>910.93739757492585</v>
          </cell>
        </row>
        <row r="194">
          <cell r="B194" t="str">
            <v>CO2_SECTOR</v>
          </cell>
          <cell r="C194" t="str">
            <v>VAR_comnet</v>
          </cell>
          <cell r="D194" t="str">
            <v>-</v>
          </cell>
          <cell r="E194">
            <v>43904.236641238444</v>
          </cell>
          <cell r="F194">
            <v>41568.641256964242</v>
          </cell>
          <cell r="G194">
            <v>38538.679449904281</v>
          </cell>
          <cell r="H194">
            <v>30360.083544943867</v>
          </cell>
          <cell r="I194">
            <v>15604.432450885426</v>
          </cell>
          <cell r="J194">
            <v>5400.8621066121859</v>
          </cell>
        </row>
        <row r="195">
          <cell r="B195" t="str">
            <v>CO2SC</v>
          </cell>
          <cell r="C195" t="str">
            <v>VAR_fout</v>
          </cell>
          <cell r="D195" t="str">
            <v>CO2S1</v>
          </cell>
          <cell r="E195">
            <v>6307.1990227535098</v>
          </cell>
          <cell r="F195">
            <v>6307.1990227535098</v>
          </cell>
          <cell r="G195">
            <v>6307.1990227535098</v>
          </cell>
          <cell r="H195">
            <v>6307.1990227535098</v>
          </cell>
          <cell r="I195">
            <v>6307.1990227535098</v>
          </cell>
          <cell r="J195">
            <v>6307.1990227535098</v>
          </cell>
        </row>
        <row r="196">
          <cell r="B196" t="str">
            <v>CO2SC</v>
          </cell>
          <cell r="C196" t="str">
            <v>VAR_fout</v>
          </cell>
          <cell r="D196" t="str">
            <v>CO2S2</v>
          </cell>
          <cell r="J196">
            <v>1.1386186499433199E-4</v>
          </cell>
        </row>
        <row r="197">
          <cell r="B197" t="str">
            <v>CO2SC</v>
          </cell>
          <cell r="C197" t="str">
            <v>VAR_fin</v>
          </cell>
          <cell r="D197" t="str">
            <v>CO2EXP</v>
          </cell>
          <cell r="J197">
            <v>5297.95880526774</v>
          </cell>
        </row>
        <row r="198">
          <cell r="B198" t="str">
            <v>CO2SC</v>
          </cell>
          <cell r="C198" t="str">
            <v>EQ_combalM</v>
          </cell>
          <cell r="D198" t="str">
            <v>-</v>
          </cell>
          <cell r="J198">
            <v>-2.3785536568126001E-7</v>
          </cell>
        </row>
        <row r="199">
          <cell r="B199" t="str">
            <v>CO2P</v>
          </cell>
          <cell r="C199" t="str">
            <v>VAR_fout</v>
          </cell>
          <cell r="D199" t="str">
            <v>ITOT-PROCESSCO2</v>
          </cell>
          <cell r="E199">
            <v>2089.34680048464</v>
          </cell>
          <cell r="F199">
            <v>2111.0131698740802</v>
          </cell>
          <cell r="G199">
            <v>2102.26947106126</v>
          </cell>
          <cell r="H199">
            <v>2093.6584239297413</v>
          </cell>
          <cell r="I199">
            <v>2077.4214710111187</v>
          </cell>
          <cell r="J199">
            <v>2063.7512961544053</v>
          </cell>
        </row>
        <row r="200">
          <cell r="B200" t="str">
            <v>CO2P</v>
          </cell>
          <cell r="C200" t="str">
            <v>VAR_comnet</v>
          </cell>
          <cell r="D200" t="str">
            <v>-</v>
          </cell>
          <cell r="E200">
            <v>2089.34680048464</v>
          </cell>
          <cell r="F200">
            <v>2111.0131698740802</v>
          </cell>
          <cell r="G200">
            <v>2102.26947106126</v>
          </cell>
          <cell r="H200">
            <v>2093.6584239297413</v>
          </cell>
          <cell r="I200">
            <v>2077.4214710111187</v>
          </cell>
          <cell r="J200">
            <v>2063.7512961544053</v>
          </cell>
        </row>
        <row r="201">
          <cell r="B201" t="str">
            <v>CO2_E</v>
          </cell>
          <cell r="C201" t="str">
            <v>VAR_fout</v>
          </cell>
          <cell r="D201" t="str">
            <v>EWSTINCCS</v>
          </cell>
          <cell r="I201">
            <v>8.8047761005932396E-2</v>
          </cell>
          <cell r="J201">
            <v>1220.08100175506</v>
          </cell>
        </row>
        <row r="202">
          <cell r="B202" t="str">
            <v>CO2_E</v>
          </cell>
          <cell r="C202" t="str">
            <v>VAR_fout</v>
          </cell>
          <cell r="D202" t="str">
            <v>ENGA-CCS</v>
          </cell>
          <cell r="I202">
            <v>4.9897747778012203E-2</v>
          </cell>
          <cell r="J202">
            <v>70.371228353171702</v>
          </cell>
        </row>
        <row r="203">
          <cell r="B203" t="str">
            <v>CO2_E</v>
          </cell>
          <cell r="C203" t="str">
            <v>VAR_fout</v>
          </cell>
          <cell r="D203" t="str">
            <v>CHPWSTCCS</v>
          </cell>
          <cell r="I203">
            <v>8.9900902292733106E-2</v>
          </cell>
          <cell r="J203">
            <v>1235.3926212711101</v>
          </cell>
        </row>
        <row r="204">
          <cell r="B204" t="str">
            <v>CO2_E</v>
          </cell>
          <cell r="C204" t="str">
            <v>VAR_fout</v>
          </cell>
          <cell r="D204" t="str">
            <v>HPLNGA</v>
          </cell>
          <cell r="E204">
            <v>114.385378837728</v>
          </cell>
          <cell r="F204">
            <v>155.574856974959</v>
          </cell>
          <cell r="G204">
            <v>155.275571235847</v>
          </cell>
          <cell r="H204">
            <v>362.68996756905</v>
          </cell>
          <cell r="I204">
            <v>135.76097815317499</v>
          </cell>
          <cell r="J204">
            <v>9.0368259642454305E-4</v>
          </cell>
        </row>
        <row r="205">
          <cell r="B205" t="str">
            <v>CO2_E</v>
          </cell>
          <cell r="C205" t="str">
            <v>VAR_fout</v>
          </cell>
          <cell r="D205" t="str">
            <v>CHPWST</v>
          </cell>
          <cell r="E205">
            <v>2843.2610030832402</v>
          </cell>
          <cell r="F205">
            <v>2574.92445400719</v>
          </cell>
          <cell r="G205">
            <v>2409.0712806503998</v>
          </cell>
          <cell r="H205">
            <v>2556.3808226882402</v>
          </cell>
          <cell r="I205">
            <v>2566.82502111248</v>
          </cell>
          <cell r="J205">
            <v>1005.49621703847</v>
          </cell>
        </row>
        <row r="206">
          <cell r="B206" t="str">
            <v>CO2_E</v>
          </cell>
          <cell r="C206" t="str">
            <v>VAR_fout</v>
          </cell>
          <cell r="D206" t="str">
            <v>CHPNGA</v>
          </cell>
          <cell r="E206">
            <v>208.81666823783701</v>
          </cell>
          <cell r="F206">
            <v>0.141705818793745</v>
          </cell>
          <cell r="G206">
            <v>41.268285195378802</v>
          </cell>
          <cell r="H206">
            <v>0.14626049625370099</v>
          </cell>
          <cell r="I206">
            <v>0.146071615655881</v>
          </cell>
          <cell r="J206">
            <v>1.5975454278609202E-2</v>
          </cell>
        </row>
        <row r="207">
          <cell r="B207" t="str">
            <v>CO2_E</v>
          </cell>
          <cell r="C207" t="str">
            <v>VAR_fout</v>
          </cell>
          <cell r="D207" t="str">
            <v>EWSTINC</v>
          </cell>
          <cell r="E207">
            <v>1689.29383709287</v>
          </cell>
          <cell r="F207">
            <v>1895.8838797849801</v>
          </cell>
          <cell r="G207">
            <v>2128.4899509059001</v>
          </cell>
          <cell r="H207">
            <v>1920.6433170950199</v>
          </cell>
          <cell r="I207">
            <v>2010.53433656323</v>
          </cell>
          <cell r="J207">
            <v>1220.1676624921599</v>
          </cell>
        </row>
        <row r="208">
          <cell r="B208" t="str">
            <v>CO2_E</v>
          </cell>
          <cell r="C208" t="str">
            <v>VAR_fout</v>
          </cell>
          <cell r="D208" t="str">
            <v>ENGA-GTCC</v>
          </cell>
          <cell r="I208">
            <v>9.46433702385336E-2</v>
          </cell>
          <cell r="J208">
            <v>0.62687494085725304</v>
          </cell>
        </row>
        <row r="209">
          <cell r="B209" t="str">
            <v>CO2_E</v>
          </cell>
          <cell r="C209" t="str">
            <v>VAR_fout</v>
          </cell>
          <cell r="D209" t="str">
            <v>HPLOIL</v>
          </cell>
          <cell r="E209">
            <v>15.880167957592199</v>
          </cell>
          <cell r="F209">
            <v>16.0264523106651</v>
          </cell>
          <cell r="G209">
            <v>0.43548577407588901</v>
          </cell>
          <cell r="H209">
            <v>2.48261157806915E-2</v>
          </cell>
          <cell r="I209">
            <v>6.64490683503854E-3</v>
          </cell>
          <cell r="J209">
            <v>6.3616654615418597E-4</v>
          </cell>
        </row>
        <row r="210">
          <cell r="B210" t="str">
            <v>CO2_E</v>
          </cell>
          <cell r="C210" t="str">
            <v>VAR_fout</v>
          </cell>
          <cell r="D210" t="str">
            <v>CHPGFC</v>
          </cell>
          <cell r="I210">
            <v>41.4350442568049</v>
          </cell>
          <cell r="J210">
            <v>1.7627835531776399E-2</v>
          </cell>
        </row>
        <row r="211">
          <cell r="B211" t="str">
            <v>CO2_E</v>
          </cell>
          <cell r="C211" t="str">
            <v>VAR_fout</v>
          </cell>
          <cell r="D211" t="str">
            <v>EOIL-ENG</v>
          </cell>
          <cell r="E211">
            <v>9.8500507726890998</v>
          </cell>
          <cell r="F211">
            <v>112.23414113752099</v>
          </cell>
          <cell r="G211">
            <v>34.924379072665502</v>
          </cell>
          <cell r="H211">
            <v>5.9440721782503099E-2</v>
          </cell>
          <cell r="I211">
            <v>5.97031138940574E-2</v>
          </cell>
          <cell r="J211">
            <v>1.5598031427044801E-2</v>
          </cell>
        </row>
        <row r="212">
          <cell r="B212" t="str">
            <v>CO2_E</v>
          </cell>
          <cell r="C212" t="str">
            <v>VAR_fout</v>
          </cell>
          <cell r="D212" t="str">
            <v>ENGA-GTOC</v>
          </cell>
          <cell r="H212">
            <v>5.7042084828105501E-2</v>
          </cell>
          <cell r="I212">
            <v>5.35787026737094E-2</v>
          </cell>
          <cell r="J212">
            <v>4.2559974552031699E-2</v>
          </cell>
        </row>
        <row r="213">
          <cell r="B213" t="str">
            <v>CO2_E</v>
          </cell>
          <cell r="C213" t="str">
            <v>VAR_fout</v>
          </cell>
          <cell r="D213" t="str">
            <v>CHPOIL</v>
          </cell>
          <cell r="E213">
            <v>2.26271364311236</v>
          </cell>
          <cell r="F213">
            <v>133.62348722583701</v>
          </cell>
          <cell r="G213">
            <v>4.4235003560408899</v>
          </cell>
          <cell r="H213">
            <v>8.43332734700315E-2</v>
          </cell>
          <cell r="I213">
            <v>7.2827888320212905E-2</v>
          </cell>
          <cell r="J213">
            <v>9.8925491903256099E-3</v>
          </cell>
        </row>
        <row r="214">
          <cell r="B214" t="str">
            <v>CO2_E</v>
          </cell>
          <cell r="C214" t="str">
            <v>VAR_comnet</v>
          </cell>
          <cell r="D214" t="str">
            <v>-</v>
          </cell>
          <cell r="E214">
            <v>4883.7498196250699</v>
          </cell>
          <cell r="F214">
            <v>4888.40897725994</v>
          </cell>
          <cell r="G214">
            <v>4773.8884531903104</v>
          </cell>
          <cell r="H214">
            <v>4840.0860100444297</v>
          </cell>
          <cell r="I214">
            <v>4755.2166960943796</v>
          </cell>
          <cell r="J214">
            <v>4752.2387995449599</v>
          </cell>
        </row>
        <row r="215">
          <cell r="B215" t="str">
            <v>CO2_I</v>
          </cell>
          <cell r="C215" t="str">
            <v>VAR_fout</v>
          </cell>
          <cell r="D215" t="str">
            <v>ITOT-CHPNGA</v>
          </cell>
          <cell r="E215">
            <v>108.979826620834</v>
          </cell>
          <cell r="F215">
            <v>83.027943330029203</v>
          </cell>
          <cell r="G215">
            <v>8.6530338500877306</v>
          </cell>
          <cell r="H215">
            <v>3.8810169759888198</v>
          </cell>
          <cell r="I215">
            <v>0.85719330611699496</v>
          </cell>
          <cell r="J215">
            <v>0.13289411250334801</v>
          </cell>
        </row>
        <row r="216">
          <cell r="B216" t="str">
            <v>CO2_I</v>
          </cell>
          <cell r="C216" t="str">
            <v>VAR_fout</v>
          </cell>
          <cell r="D216" t="str">
            <v>ITOT-SWHNGABR</v>
          </cell>
          <cell r="E216">
            <v>2005.15384353271</v>
          </cell>
          <cell r="F216">
            <v>1674.2150134231999</v>
          </cell>
          <cell r="G216">
            <v>2111.5355221101699</v>
          </cell>
          <cell r="H216">
            <v>1515.97722452577</v>
          </cell>
          <cell r="I216">
            <v>536.385473092398</v>
          </cell>
          <cell r="J216">
            <v>221.19094429551899</v>
          </cell>
        </row>
        <row r="217">
          <cell r="B217" t="str">
            <v>CO2_I</v>
          </cell>
          <cell r="C217" t="str">
            <v>VAR_fout</v>
          </cell>
          <cell r="D217" t="str">
            <v>ITOT-CHPWSTCCS</v>
          </cell>
          <cell r="I217">
            <v>4.5686129139274598E-2</v>
          </cell>
          <cell r="J217">
            <v>996.35832102782103</v>
          </cell>
        </row>
        <row r="218">
          <cell r="B218" t="str">
            <v>CO2_I</v>
          </cell>
          <cell r="C218" t="str">
            <v>VAR_fout</v>
          </cell>
          <cell r="D218" t="str">
            <v>ITOT-SWHLFOBR</v>
          </cell>
          <cell r="E218">
            <v>655.77369861914599</v>
          </cell>
          <cell r="F218">
            <v>597.36289686796795</v>
          </cell>
          <cell r="G218">
            <v>586.43077279050203</v>
          </cell>
          <cell r="H218">
            <v>435.66031867765003</v>
          </cell>
          <cell r="I218">
            <v>188.03431096782899</v>
          </cell>
          <cell r="J218">
            <v>11.9776579491957</v>
          </cell>
        </row>
        <row r="219">
          <cell r="B219" t="str">
            <v>CO2_I</v>
          </cell>
          <cell r="C219" t="str">
            <v>VAR_fout</v>
          </cell>
          <cell r="D219" t="str">
            <v>ITOT-CHPNGACCS</v>
          </cell>
          <cell r="I219">
            <v>5.9986454677123498E-2</v>
          </cell>
          <cell r="J219">
            <v>9.4249402034177795E-2</v>
          </cell>
        </row>
        <row r="220">
          <cell r="B220" t="str">
            <v>CO2_I</v>
          </cell>
          <cell r="C220" t="str">
            <v>VAR_fout</v>
          </cell>
          <cell r="D220" t="str">
            <v>ITOT-CHPGFC</v>
          </cell>
          <cell r="I220">
            <v>0.105661048960733</v>
          </cell>
          <cell r="J220">
            <v>0.14416493101698399</v>
          </cell>
        </row>
        <row r="221">
          <cell r="B221" t="str">
            <v>CO2_I</v>
          </cell>
          <cell r="C221" t="str">
            <v>VAR_fout</v>
          </cell>
          <cell r="D221" t="str">
            <v>ITOT-SWHCOABR</v>
          </cell>
          <cell r="E221">
            <v>330.01846738584402</v>
          </cell>
          <cell r="F221">
            <v>321.180805337528</v>
          </cell>
          <cell r="G221">
            <v>126.803962647928</v>
          </cell>
          <cell r="H221">
            <v>8.9577903678774405E-3</v>
          </cell>
          <cell r="I221">
            <v>1.0821746663033E-2</v>
          </cell>
          <cell r="J221">
            <v>7.8048515867489596E-4</v>
          </cell>
        </row>
        <row r="222">
          <cell r="B222" t="str">
            <v>CO2_I</v>
          </cell>
          <cell r="C222" t="str">
            <v>VAR_fout</v>
          </cell>
          <cell r="D222" t="str">
            <v>ITOT-CHPOIL</v>
          </cell>
          <cell r="E222">
            <v>22.584731635377501</v>
          </cell>
          <cell r="F222">
            <v>51.2067699321764</v>
          </cell>
          <cell r="G222">
            <v>1.5358111405852899</v>
          </cell>
          <cell r="H222">
            <v>39.292560479779503</v>
          </cell>
          <cell r="I222">
            <v>0.16704038048698799</v>
          </cell>
          <cell r="J222">
            <v>4.5821359895666901E-2</v>
          </cell>
        </row>
        <row r="223">
          <cell r="B223" t="str">
            <v>CO2_I</v>
          </cell>
          <cell r="C223" t="str">
            <v>VAR_fout</v>
          </cell>
          <cell r="D223" t="str">
            <v>ITOT-SWHWSTBR</v>
          </cell>
          <cell r="E223">
            <v>723.66217696060505</v>
          </cell>
          <cell r="F223">
            <v>749.84506518764499</v>
          </cell>
          <cell r="G223">
            <v>520.46294646664899</v>
          </cell>
          <cell r="H223">
            <v>514.65128038672299</v>
          </cell>
          <cell r="I223">
            <v>511.33449335035903</v>
          </cell>
          <cell r="J223">
            <v>5.9281217943484904E-3</v>
          </cell>
        </row>
        <row r="224">
          <cell r="B224" t="str">
            <v>CO2_I</v>
          </cell>
          <cell r="C224" t="str">
            <v>VAR_fout</v>
          </cell>
          <cell r="D224" t="str">
            <v>ITOT-SWHNGAHP</v>
          </cell>
          <cell r="I224">
            <v>4.1171116668039499E-2</v>
          </cell>
          <cell r="J224">
            <v>3.96936448467878E-2</v>
          </cell>
        </row>
        <row r="225">
          <cell r="B225" t="str">
            <v>CO2_I</v>
          </cell>
          <cell r="C225" t="str">
            <v>VAR_fout</v>
          </cell>
          <cell r="D225" t="str">
            <v>ITOT-CHPWST</v>
          </cell>
          <cell r="E225">
            <v>344.47420843676002</v>
          </cell>
          <cell r="F225">
            <v>344.64786839057501</v>
          </cell>
          <cell r="G225">
            <v>504.200544659939</v>
          </cell>
          <cell r="H225">
            <v>498.57126350001101</v>
          </cell>
          <cell r="I225">
            <v>495.33387331604598</v>
          </cell>
          <cell r="J225">
            <v>0.109443200572119</v>
          </cell>
        </row>
        <row r="226">
          <cell r="B226" t="str">
            <v>CO2_I</v>
          </cell>
          <cell r="C226" t="str">
            <v>VAR_fout</v>
          </cell>
          <cell r="D226" t="str">
            <v>ITOT-SWHHFOBR</v>
          </cell>
          <cell r="E226">
            <v>210.21262861241101</v>
          </cell>
          <cell r="F226">
            <v>209.30644076926899</v>
          </cell>
          <cell r="G226">
            <v>0.55756208286142095</v>
          </cell>
          <cell r="H226">
            <v>1.17740757810512E-2</v>
          </cell>
          <cell r="I226">
            <v>1.1647660775738099E-2</v>
          </cell>
        </row>
        <row r="227">
          <cell r="B227" t="str">
            <v>CO2_I</v>
          </cell>
          <cell r="C227" t="str">
            <v>VAR_comnet</v>
          </cell>
          <cell r="D227" t="str">
            <v>-</v>
          </cell>
          <cell r="E227">
            <v>4400.8595818036802</v>
          </cell>
          <cell r="F227">
            <v>4030.7928032383902</v>
          </cell>
          <cell r="G227">
            <v>3860.1801557487202</v>
          </cell>
          <cell r="H227">
            <v>3008.0543964120702</v>
          </cell>
          <cell r="I227">
            <v>1732.3873585701201</v>
          </cell>
          <cell r="J227">
            <v>1230.09989853036</v>
          </cell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2040</v>
          </cell>
          <cell r="J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1.0886208178830101E-6</v>
          </cell>
          <cell r="I4">
            <v>2.88473977023896E-6</v>
          </cell>
          <cell r="J4">
            <v>1.21629001745436E-4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I5">
            <v>0.373140629661183</v>
          </cell>
          <cell r="J5">
            <v>6.3754649920734402E-2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5.9504269718988497E-6</v>
          </cell>
          <cell r="I6">
            <v>6.4908901129261204E-2</v>
          </cell>
          <cell r="J6">
            <v>0.94154287238204104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1.4436994448577301E-6</v>
          </cell>
          <cell r="I7">
            <v>0.147770321590068</v>
          </cell>
          <cell r="J7">
            <v>1.8326133314311999E-6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4.9073253551224798E-5</v>
          </cell>
          <cell r="F8">
            <v>1.2576143792679701E-6</v>
          </cell>
          <cell r="G8">
            <v>1.6155544565898801E-6</v>
          </cell>
          <cell r="H8">
            <v>2.3422180990684499E-6</v>
          </cell>
          <cell r="I8">
            <v>4.6743271244587302E-6</v>
          </cell>
          <cell r="J8">
            <v>7.6558412163346297E-6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I9">
            <v>1.39119373978891</v>
          </cell>
          <cell r="J9">
            <v>3.9348076380035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4.1121725061207502E-3</v>
          </cell>
          <cell r="F10">
            <v>2.2989748496898801E-2</v>
          </cell>
          <cell r="G10">
            <v>3.9633492978116704E-6</v>
          </cell>
          <cell r="H10">
            <v>7.6398848865921104E-2</v>
          </cell>
          <cell r="I10">
            <v>8.3696479562938601E-7</v>
          </cell>
          <cell r="J10">
            <v>6.8023931402129002E-7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8.7695251387903495E-7</v>
          </cell>
          <cell r="F11">
            <v>9.2765082616592301E-7</v>
          </cell>
          <cell r="G11">
            <v>1.1109213650128799E-6</v>
          </cell>
          <cell r="H11">
            <v>1.35870059817187E-6</v>
          </cell>
          <cell r="I11">
            <v>4.43127205024529E-6</v>
          </cell>
          <cell r="J11">
            <v>6.5090242581980105E-4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1.43394435234419E-2</v>
          </cell>
          <cell r="F12">
            <v>0.101411873164079</v>
          </cell>
          <cell r="G12">
            <v>5.9909045450908201E-6</v>
          </cell>
          <cell r="H12">
            <v>3.1266540891791497E-2</v>
          </cell>
          <cell r="I12">
            <v>0.27031337266053701</v>
          </cell>
          <cell r="J12">
            <v>0.17020373272707201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J13">
            <v>4.3068873374133799E-5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2.9351760741019299E-6</v>
          </cell>
          <cell r="F14">
            <v>3.0366958442334701E-7</v>
          </cell>
          <cell r="G14">
            <v>3.3879329172486798E-7</v>
          </cell>
          <cell r="H14">
            <v>3.9953336031717799E-7</v>
          </cell>
          <cell r="I14">
            <v>8.1399863893028304E-7</v>
          </cell>
          <cell r="J14">
            <v>1.3696867825449199E-6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1.5594432750977299E-5</v>
          </cell>
          <cell r="I15">
            <v>7.0826389789591205E-5</v>
          </cell>
          <cell r="J15">
            <v>8.1661466810474108E-6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5.4441547980824197E-6</v>
          </cell>
          <cell r="I16">
            <v>0.17430833380174501</v>
          </cell>
          <cell r="J16">
            <v>1.37428125123244E-6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3.0763702497962502E-7</v>
          </cell>
          <cell r="I17">
            <v>1.20329792378946E-5</v>
          </cell>
          <cell r="J17">
            <v>1.34084946837359E-7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1.67942359656931E-5</v>
          </cell>
          <cell r="F18">
            <v>3.1678718790335098E-7</v>
          </cell>
          <cell r="G18">
            <v>4.8341239678750196E-7</v>
          </cell>
          <cell r="H18">
            <v>7.9234319901921602E-7</v>
          </cell>
          <cell r="I18">
            <v>1.61539932667644E-6</v>
          </cell>
          <cell r="J18">
            <v>3.0726743372456601E-6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5.2070904039103E-2</v>
          </cell>
          <cell r="F19">
            <v>0.110333408918991</v>
          </cell>
          <cell r="G19">
            <v>4.5728552749280602E-6</v>
          </cell>
          <cell r="H19">
            <v>4.3321569808422201E-6</v>
          </cell>
          <cell r="I19">
            <v>0.149375877749231</v>
          </cell>
          <cell r="J19">
            <v>0.200265763529096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9.5534050993362393E-7</v>
          </cell>
          <cell r="F20">
            <v>2.09408741999785E-7</v>
          </cell>
          <cell r="G20">
            <v>2.89344548174244E-7</v>
          </cell>
          <cell r="H20">
            <v>2.1351429147166001E-7</v>
          </cell>
          <cell r="I20">
            <v>4.2980243488517599E-7</v>
          </cell>
          <cell r="J20">
            <v>7.2810904051517299E-7</v>
          </cell>
        </row>
        <row r="21">
          <cell r="A21" t="str">
            <v>-</v>
          </cell>
          <cell r="B21" t="str">
            <v>VAR_ncap</v>
          </cell>
          <cell r="C21" t="str">
            <v>SUP_WSTHTGBIOCCS</v>
          </cell>
          <cell r="I21">
            <v>1.3195806094469E-5</v>
          </cell>
          <cell r="J21">
            <v>3.9160977193191896E-3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1.4390455458596599E-6</v>
          </cell>
          <cell r="F22">
            <v>5.07151813019096E-5</v>
          </cell>
          <cell r="G22">
            <v>4.3205475854968701E-5</v>
          </cell>
          <cell r="H22">
            <v>1.3199046455563801E-4</v>
          </cell>
          <cell r="I22">
            <v>0.253553131756935</v>
          </cell>
          <cell r="J22">
            <v>5.3366565080179999E-7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I23">
            <v>0.29533083323613302</v>
          </cell>
          <cell r="J23">
            <v>1.4186308863422199</v>
          </cell>
        </row>
        <row r="24">
          <cell r="A24" t="str">
            <v>-</v>
          </cell>
          <cell r="B24" t="str">
            <v>VAR_ncap</v>
          </cell>
          <cell r="C24" t="str">
            <v>SUP_WODH2CCS</v>
          </cell>
          <cell r="J24">
            <v>0.20689146958157001</v>
          </cell>
        </row>
        <row r="25">
          <cell r="A25" t="str">
            <v>-</v>
          </cell>
          <cell r="B25" t="str">
            <v>VAR_ncap</v>
          </cell>
          <cell r="C25" t="str">
            <v>SUP_WODBIOCCS</v>
          </cell>
          <cell r="I25">
            <v>3.4215694243877898E-5</v>
          </cell>
          <cell r="J25">
            <v>1.7361225840340101E-2</v>
          </cell>
        </row>
        <row r="26">
          <cell r="A26" t="str">
            <v>-</v>
          </cell>
          <cell r="B26" t="str">
            <v>VAR_ncap</v>
          </cell>
          <cell r="C26" t="str">
            <v>SUP_NGAH2CCS</v>
          </cell>
          <cell r="I26">
            <v>1.3917209086536299E-6</v>
          </cell>
          <cell r="J26">
            <v>8.0583841724064795E-5</v>
          </cell>
        </row>
        <row r="27">
          <cell r="A27" t="str">
            <v>-</v>
          </cell>
          <cell r="B27" t="str">
            <v>VAR_ncap</v>
          </cell>
          <cell r="C27" t="str">
            <v>SUP_ELCH2</v>
          </cell>
          <cell r="E27">
            <v>4.9062128708347603E-4</v>
          </cell>
          <cell r="F27">
            <v>8.3844883878563404E-6</v>
          </cell>
          <cell r="G27">
            <v>1.2718548148663E-5</v>
          </cell>
          <cell r="H27">
            <v>5.21893452861262E-5</v>
          </cell>
          <cell r="I27">
            <v>2.8372661223965902E-6</v>
          </cell>
          <cell r="J27">
            <v>6.4987653723763E-2</v>
          </cell>
        </row>
        <row r="28">
          <cell r="A28" t="str">
            <v>-</v>
          </cell>
          <cell r="B28" t="str">
            <v>VAR_ncap</v>
          </cell>
          <cell r="C28" t="str">
            <v>CT_CWODBDS</v>
          </cell>
          <cell r="E28">
            <v>5.9309315886385295E-7</v>
          </cell>
          <cell r="F28">
            <v>4.4466110424322799E-7</v>
          </cell>
          <cell r="G28">
            <v>7.4256309367213996E-7</v>
          </cell>
          <cell r="H28">
            <v>4.1697183097436597E-3</v>
          </cell>
          <cell r="I28">
            <v>2.0577310433369002E-3</v>
          </cell>
          <cell r="J28">
            <v>4.7423026677987101E-7</v>
          </cell>
        </row>
        <row r="29">
          <cell r="A29" t="str">
            <v>-</v>
          </cell>
          <cell r="B29" t="str">
            <v>VAR_ncap</v>
          </cell>
          <cell r="C29" t="str">
            <v>CT_CWODETHCCS</v>
          </cell>
          <cell r="I29">
            <v>2.1671971266766799E-5</v>
          </cell>
          <cell r="J29">
            <v>3.8734251436570498E-7</v>
          </cell>
        </row>
        <row r="30">
          <cell r="A30" t="str">
            <v>-</v>
          </cell>
          <cell r="B30" t="str">
            <v>VAR_ncap</v>
          </cell>
          <cell r="C30" t="str">
            <v>CT_CWODPLT</v>
          </cell>
          <cell r="E30">
            <v>0.1539756675376</v>
          </cell>
          <cell r="F30">
            <v>5.3670035100998E-2</v>
          </cell>
          <cell r="G30">
            <v>2.7333603078012898E-6</v>
          </cell>
          <cell r="H30">
            <v>2.8959242351655801E-6</v>
          </cell>
          <cell r="I30">
            <v>0.15640102902306299</v>
          </cell>
          <cell r="J30">
            <v>6.9177699539924004E-2</v>
          </cell>
        </row>
        <row r="31">
          <cell r="A31" t="str">
            <v>-</v>
          </cell>
          <cell r="B31" t="str">
            <v>VAR_ncap</v>
          </cell>
          <cell r="C31" t="str">
            <v>D-DH2</v>
          </cell>
          <cell r="H31">
            <v>8.9981235670404E-5</v>
          </cell>
          <cell r="I31">
            <v>2.93341051414384E-4</v>
          </cell>
          <cell r="J31">
            <v>1.35728689423725E-5</v>
          </cell>
        </row>
        <row r="32">
          <cell r="A32" t="str">
            <v>-</v>
          </cell>
          <cell r="B32" t="str">
            <v>VAR_ncap</v>
          </cell>
          <cell r="C32" t="str">
            <v>CT_CWODETH</v>
          </cell>
          <cell r="E32">
            <v>2.9473412755895599E-3</v>
          </cell>
          <cell r="F32">
            <v>3.15220963876967E-3</v>
          </cell>
          <cell r="G32">
            <v>2.8925691669846599E-5</v>
          </cell>
          <cell r="H32">
            <v>6.9602963165229499E-7</v>
          </cell>
          <cell r="I32">
            <v>1.8454743968598399E-6</v>
          </cell>
          <cell r="J32">
            <v>2.55778513068466E-5</v>
          </cell>
        </row>
        <row r="33">
          <cell r="A33" t="str">
            <v>-</v>
          </cell>
          <cell r="B33" t="str">
            <v>VAR_ncap</v>
          </cell>
          <cell r="C33" t="str">
            <v>D-INGA</v>
          </cell>
          <cell r="E33">
            <v>3.2425138686270799E-6</v>
          </cell>
          <cell r="F33">
            <v>1.26098709242159E-6</v>
          </cell>
          <cell r="G33">
            <v>1.58925965565245E-6</v>
          </cell>
          <cell r="H33">
            <v>1.88413395687096E-6</v>
          </cell>
          <cell r="I33">
            <v>5.9049925102460202E-6</v>
          </cell>
          <cell r="J33">
            <v>1.87731327166131E-4</v>
          </cell>
        </row>
        <row r="34">
          <cell r="A34" t="str">
            <v>-</v>
          </cell>
          <cell r="B34" t="str">
            <v>VAR_ncap</v>
          </cell>
          <cell r="C34" t="str">
            <v>SUP_H2DSL</v>
          </cell>
          <cell r="H34">
            <v>3.2692834308237599E-6</v>
          </cell>
          <cell r="I34">
            <v>4.9405963343142397E-3</v>
          </cell>
          <cell r="J34">
            <v>0.59931468948357602</v>
          </cell>
        </row>
        <row r="35">
          <cell r="A35" t="str">
            <v>-</v>
          </cell>
          <cell r="B35" t="str">
            <v>VAR_ncap</v>
          </cell>
          <cell r="C35" t="str">
            <v>SUP_DAC</v>
          </cell>
          <cell r="I35">
            <v>2.12195241514991E-3</v>
          </cell>
          <cell r="J35">
            <v>6.68579412724682E-3</v>
          </cell>
        </row>
        <row r="36">
          <cell r="A36" t="str">
            <v>-</v>
          </cell>
          <cell r="B36" t="str">
            <v>VAR_ncap</v>
          </cell>
          <cell r="C36" t="str">
            <v>CT_CWODBDSCCS</v>
          </cell>
          <cell r="I36">
            <v>2.8903225206738699E-5</v>
          </cell>
          <cell r="J36">
            <v>4.9353475132872998E-2</v>
          </cell>
        </row>
        <row r="37">
          <cell r="A37" t="str">
            <v>-</v>
          </cell>
          <cell r="B37" t="str">
            <v>VAR_cap</v>
          </cell>
          <cell r="C37" t="str">
            <v>SUP_NGAH2</v>
          </cell>
          <cell r="H37">
            <v>1.0886208178830101E-6</v>
          </cell>
          <cell r="I37">
            <v>4.3249676998607201E-6</v>
          </cell>
          <cell r="J37">
            <v>1.2551926112555015E-4</v>
          </cell>
        </row>
        <row r="38">
          <cell r="A38" t="str">
            <v>-</v>
          </cell>
          <cell r="B38" t="str">
            <v>VAR_cap</v>
          </cell>
          <cell r="C38" t="str">
            <v>SUP_WSTHTGBIO</v>
          </cell>
          <cell r="I38">
            <v>0.373140629661183</v>
          </cell>
          <cell r="J38">
            <v>0.43689494312383104</v>
          </cell>
        </row>
        <row r="39">
          <cell r="A39" t="str">
            <v>-</v>
          </cell>
          <cell r="B39" t="str">
            <v>VAR_cap</v>
          </cell>
          <cell r="C39" t="str">
            <v>STG-H2</v>
          </cell>
          <cell r="H39">
            <v>5.9504269718988497E-6</v>
          </cell>
          <cell r="I39">
            <v>6.492313150913552E-2</v>
          </cell>
          <cell r="J39">
            <v>1.0064595630347193</v>
          </cell>
        </row>
        <row r="40">
          <cell r="A40" t="str">
            <v>-</v>
          </cell>
          <cell r="B40" t="str">
            <v>VAR_cap</v>
          </cell>
          <cell r="C40" t="str">
            <v>SUP_H2NGA</v>
          </cell>
          <cell r="H40">
            <v>1.4436994448577301E-6</v>
          </cell>
          <cell r="I40">
            <v>0.14777621365067251</v>
          </cell>
          <cell r="J40">
            <v>0.1477702801401394</v>
          </cell>
        </row>
        <row r="41">
          <cell r="A41" t="str">
            <v>-</v>
          </cell>
          <cell r="B41" t="str">
            <v>VAR_cap</v>
          </cell>
          <cell r="C41" t="str">
            <v>D-ENGA</v>
          </cell>
          <cell r="E41">
            <v>1.0275610677945313</v>
          </cell>
          <cell r="F41">
            <v>1.0275623254089106</v>
          </cell>
          <cell r="G41">
            <v>1.0275639409633672</v>
          </cell>
          <cell r="H41">
            <v>1.0275662831814663</v>
          </cell>
          <cell r="I41">
            <v>1.0275747604941727</v>
          </cell>
          <cell r="J41">
            <v>0.72474710310916901</v>
          </cell>
        </row>
        <row r="42">
          <cell r="A42" t="str">
            <v>-</v>
          </cell>
          <cell r="B42" t="str">
            <v>VAR_cap</v>
          </cell>
          <cell r="C42" t="str">
            <v>D-CHEAT</v>
          </cell>
          <cell r="I42">
            <v>1.39119373978891</v>
          </cell>
          <cell r="J42">
            <v>5.3260013777924096</v>
          </cell>
        </row>
        <row r="43">
          <cell r="A43" t="str">
            <v>-</v>
          </cell>
          <cell r="B43" t="str">
            <v>VAR_cap</v>
          </cell>
          <cell r="C43" t="str">
            <v>SUP_WSTBIO</v>
          </cell>
          <cell r="E43">
            <v>0.21268082357873219</v>
          </cell>
          <cell r="F43">
            <v>0.23566838664813108</v>
          </cell>
          <cell r="G43">
            <v>0.22777811381431914</v>
          </cell>
          <cell r="H43">
            <v>0.23493213584258096</v>
          </cell>
          <cell r="I43">
            <v>3.1906040480309816E-3</v>
          </cell>
          <cell r="J43">
            <v>1.1139591223999212E-4</v>
          </cell>
        </row>
        <row r="44">
          <cell r="A44" t="str">
            <v>-</v>
          </cell>
          <cell r="B44" t="str">
            <v>VAR_cap</v>
          </cell>
          <cell r="C44" t="str">
            <v>D-CNGA</v>
          </cell>
          <cell r="E44">
            <v>8.7695251387903495E-7</v>
          </cell>
          <cell r="F44">
            <v>1.80460334004496E-6</v>
          </cell>
          <cell r="G44">
            <v>2.9155247050578401E-6</v>
          </cell>
          <cell r="H44">
            <v>4.2742253032297099E-6</v>
          </cell>
          <cell r="I44">
            <v>1.1229359705005199E-5</v>
          </cell>
          <cell r="J44">
            <v>6.6213178552480703E-4</v>
          </cell>
        </row>
        <row r="45">
          <cell r="A45" t="str">
            <v>-</v>
          </cell>
          <cell r="B45" t="str">
            <v>VAR_cap</v>
          </cell>
          <cell r="C45" t="str">
            <v>SUP_BIONGA</v>
          </cell>
          <cell r="E45">
            <v>4.2356727995823677E-2</v>
          </cell>
          <cell r="F45">
            <v>0.14376840774647723</v>
          </cell>
          <cell r="G45">
            <v>0.14377270556006344</v>
          </cell>
          <cell r="H45">
            <v>0.1701843147707833</v>
          </cell>
          <cell r="I45">
            <v>0.37798675769531942</v>
          </cell>
          <cell r="J45">
            <v>0.4636302423706169</v>
          </cell>
        </row>
        <row r="46">
          <cell r="A46" t="str">
            <v>-</v>
          </cell>
          <cell r="B46" t="str">
            <v>VAR_cap</v>
          </cell>
          <cell r="C46" t="str">
            <v>SUP_WODH2</v>
          </cell>
          <cell r="J46">
            <v>4.3068873374133799E-5</v>
          </cell>
        </row>
        <row r="47">
          <cell r="A47" t="str">
            <v>-</v>
          </cell>
          <cell r="B47" t="str">
            <v>VAR_cap</v>
          </cell>
          <cell r="C47" t="str">
            <v>D-TNGA</v>
          </cell>
          <cell r="E47">
            <v>0.9596206282577181</v>
          </cell>
          <cell r="F47">
            <v>0.95962093192730258</v>
          </cell>
          <cell r="G47">
            <v>0.95962127072059422</v>
          </cell>
          <cell r="H47">
            <v>0.95962167025395462</v>
          </cell>
          <cell r="I47">
            <v>0.95962311714075466</v>
          </cell>
          <cell r="J47">
            <v>0.48126014318148119</v>
          </cell>
        </row>
        <row r="48">
          <cell r="A48" t="str">
            <v>-</v>
          </cell>
          <cell r="B48" t="str">
            <v>VAR_cap</v>
          </cell>
          <cell r="C48" t="str">
            <v>SUP_ELCH2_D</v>
          </cell>
          <cell r="H48">
            <v>1.5594432750977299E-5</v>
          </cell>
          <cell r="I48">
            <v>1.01950258203068E-4</v>
          </cell>
          <cell r="J48">
            <v>9.5422441062911599E-5</v>
          </cell>
        </row>
        <row r="49">
          <cell r="A49" t="str">
            <v>-</v>
          </cell>
          <cell r="B49" t="str">
            <v>VAR_cap</v>
          </cell>
          <cell r="C49" t="str">
            <v>SUP_H2GSL</v>
          </cell>
          <cell r="H49">
            <v>5.4441547980824197E-6</v>
          </cell>
          <cell r="I49">
            <v>0.17432824057508609</v>
          </cell>
          <cell r="J49">
            <v>6.0475522432108006E-2</v>
          </cell>
        </row>
        <row r="50">
          <cell r="A50" t="str">
            <v>-</v>
          </cell>
          <cell r="B50" t="str">
            <v>VAR_cap</v>
          </cell>
          <cell r="C50" t="str">
            <v>ESOL-PV_E</v>
          </cell>
          <cell r="H50">
            <v>3.0763702497962502E-7</v>
          </cell>
          <cell r="I50">
            <v>1.8119306566132401E-5</v>
          </cell>
          <cell r="J50">
            <v>1.8253391512969799E-5</v>
          </cell>
        </row>
        <row r="51">
          <cell r="A51" t="str">
            <v>-</v>
          </cell>
          <cell r="B51" t="str">
            <v>VAR_cap</v>
          </cell>
          <cell r="C51" t="str">
            <v>D-SNGA</v>
          </cell>
          <cell r="E51">
            <v>2.2350689958611061</v>
          </cell>
          <cell r="F51">
            <v>2.2350693126482937</v>
          </cell>
          <cell r="G51">
            <v>2.2350697960606905</v>
          </cell>
          <cell r="H51">
            <v>2.2350705884038895</v>
          </cell>
          <cell r="I51">
            <v>2.235073503091507</v>
          </cell>
          <cell r="J51">
            <v>1.120914876629564</v>
          </cell>
        </row>
        <row r="52">
          <cell r="A52" t="str">
            <v>-</v>
          </cell>
          <cell r="B52" t="str">
            <v>VAR_cap</v>
          </cell>
          <cell r="C52" t="str">
            <v>SUP_MNRBIO</v>
          </cell>
          <cell r="E52">
            <v>5.2070904039103E-2</v>
          </cell>
          <cell r="F52">
            <v>0.16240365308642657</v>
          </cell>
          <cell r="G52">
            <v>0.16240612608578919</v>
          </cell>
          <cell r="H52">
            <v>0.16240598502306894</v>
          </cell>
          <cell r="I52">
            <v>0.22482320396750391</v>
          </cell>
          <cell r="J52">
            <v>0.3496568522630748</v>
          </cell>
        </row>
        <row r="53">
          <cell r="A53" t="str">
            <v>-</v>
          </cell>
          <cell r="B53" t="str">
            <v>VAR_cap</v>
          </cell>
          <cell r="C53" t="str">
            <v>D-RNGA</v>
          </cell>
          <cell r="E53">
            <v>3.0972409627364299</v>
          </cell>
          <cell r="F53">
            <v>3.0972411721451718</v>
          </cell>
          <cell r="G53">
            <v>3.0972414614897201</v>
          </cell>
          <cell r="H53">
            <v>3.0972416750040117</v>
          </cell>
          <cell r="I53">
            <v>3.0972424379755044</v>
          </cell>
          <cell r="J53">
            <v>1.5532854067248447</v>
          </cell>
        </row>
        <row r="54">
          <cell r="A54" t="str">
            <v>-</v>
          </cell>
          <cell r="B54" t="str">
            <v>VAR_cap</v>
          </cell>
          <cell r="C54" t="str">
            <v>SUP_WSTHTGBIOCCS</v>
          </cell>
          <cell r="I54">
            <v>1.3195806094469E-5</v>
          </cell>
          <cell r="J54">
            <v>3.92918490131078E-3</v>
          </cell>
        </row>
        <row r="55">
          <cell r="A55" t="str">
            <v>-</v>
          </cell>
          <cell r="B55" t="str">
            <v>VAR_cap</v>
          </cell>
          <cell r="C55" t="str">
            <v>SUP_WODBIO</v>
          </cell>
          <cell r="E55">
            <v>1.4390455458596599E-6</v>
          </cell>
          <cell r="F55">
            <v>5.1983751239296899E-5</v>
          </cell>
          <cell r="G55">
            <v>9.4633368849814068E-5</v>
          </cell>
          <cell r="H55">
            <v>2.2606551847142444E-4</v>
          </cell>
          <cell r="I55">
            <v>0.25504664137029665</v>
          </cell>
          <cell r="J55">
            <v>0.25388990160803337</v>
          </cell>
        </row>
        <row r="56">
          <cell r="A56" t="str">
            <v>-</v>
          </cell>
          <cell r="B56" t="str">
            <v>VAR_cap</v>
          </cell>
          <cell r="C56" t="str">
            <v>SUP_ELCH2_SOEC</v>
          </cell>
          <cell r="I56">
            <v>0.29533083323613302</v>
          </cell>
          <cell r="J56">
            <v>1.5197875513478853</v>
          </cell>
        </row>
        <row r="57">
          <cell r="A57" t="str">
            <v>-</v>
          </cell>
          <cell r="B57" t="str">
            <v>VAR_cap</v>
          </cell>
          <cell r="C57" t="str">
            <v>SUP_WODH2CCS</v>
          </cell>
          <cell r="J57">
            <v>0.20689146958157001</v>
          </cell>
        </row>
        <row r="58">
          <cell r="A58" t="str">
            <v>-</v>
          </cell>
          <cell r="B58" t="str">
            <v>VAR_cap</v>
          </cell>
          <cell r="C58" t="str">
            <v>SUP_WODBIOCCS</v>
          </cell>
          <cell r="I58">
            <v>3.4215694243877898E-5</v>
          </cell>
          <cell r="J58">
            <v>1.7395441534584E-2</v>
          </cell>
        </row>
        <row r="59">
          <cell r="A59" t="str">
            <v>-</v>
          </cell>
          <cell r="B59" t="str">
            <v>VAR_cap</v>
          </cell>
          <cell r="C59" t="str">
            <v>SUP_NGAH2CCS</v>
          </cell>
          <cell r="I59">
            <v>1.3917209086536299E-6</v>
          </cell>
          <cell r="J59">
            <v>8.1688244892607774E-5</v>
          </cell>
        </row>
        <row r="60">
          <cell r="A60" t="str">
            <v>-</v>
          </cell>
          <cell r="B60" t="str">
            <v>VAR_cap</v>
          </cell>
          <cell r="C60" t="str">
            <v>SUP_ELCH2</v>
          </cell>
          <cell r="E60">
            <v>4.9062128708347603E-4</v>
          </cell>
          <cell r="F60">
            <v>4.9843078847811603E-4</v>
          </cell>
          <cell r="G60">
            <v>5.1017609431159064E-4</v>
          </cell>
          <cell r="H60">
            <v>5.6083297571386857E-4</v>
          </cell>
          <cell r="I60">
            <v>6.2356146041001946E-2</v>
          </cell>
          <cell r="J60">
            <v>0.1146586937044753</v>
          </cell>
        </row>
        <row r="61">
          <cell r="A61" t="str">
            <v>-</v>
          </cell>
          <cell r="B61" t="str">
            <v>VAR_cap</v>
          </cell>
          <cell r="C61" t="str">
            <v>CT_CWODBDS</v>
          </cell>
          <cell r="E61">
            <v>4.0931170954330257E-2</v>
          </cell>
          <cell r="F61">
            <v>3.6644904174166104E-2</v>
          </cell>
          <cell r="G61">
            <v>3.6638970864399975E-2</v>
          </cell>
          <cell r="H61">
            <v>4.0422818127750032E-2</v>
          </cell>
          <cell r="I61">
            <v>2.4201215043259287E-2</v>
          </cell>
          <cell r="J61">
            <v>8.5781681905598012E-5</v>
          </cell>
        </row>
        <row r="62">
          <cell r="A62" t="str">
            <v>-</v>
          </cell>
          <cell r="B62" t="str">
            <v>VAR_cap</v>
          </cell>
          <cell r="C62" t="str">
            <v>CT_CWODETHCCS</v>
          </cell>
          <cell r="I62">
            <v>2.1671971266766799E-5</v>
          </cell>
          <cell r="J62">
            <v>2.2059313781132499E-5</v>
          </cell>
        </row>
        <row r="63">
          <cell r="A63" t="str">
            <v>-</v>
          </cell>
          <cell r="B63" t="str">
            <v>VAR_cap</v>
          </cell>
          <cell r="C63" t="str">
            <v>CT_CWODPLT</v>
          </cell>
          <cell r="E63">
            <v>0.3562741084420894</v>
          </cell>
          <cell r="F63">
            <v>0.40994349165909538</v>
          </cell>
          <cell r="G63">
            <v>6.1751059720226986E-2</v>
          </cell>
          <cell r="H63">
            <v>6.0686224671828048E-2</v>
          </cell>
          <cell r="I63">
            <v>0.18667699395645349</v>
          </cell>
          <cell r="J63">
            <v>0.22558694779883601</v>
          </cell>
        </row>
        <row r="64">
          <cell r="A64" t="str">
            <v>-</v>
          </cell>
          <cell r="B64" t="str">
            <v>VAR_cap</v>
          </cell>
          <cell r="C64" t="str">
            <v>D-DH2</v>
          </cell>
          <cell r="H64">
            <v>8.9981235670404E-5</v>
          </cell>
          <cell r="I64">
            <v>4.8080162049170499E-4</v>
          </cell>
          <cell r="J64">
            <v>4.9437448943407704E-4</v>
          </cell>
        </row>
        <row r="65">
          <cell r="A65" t="str">
            <v>-</v>
          </cell>
          <cell r="B65" t="str">
            <v>VAR_cap</v>
          </cell>
          <cell r="C65" t="str">
            <v>CT_CWODETH</v>
          </cell>
          <cell r="E65">
            <v>4.9845574373520761E-3</v>
          </cell>
          <cell r="F65">
            <v>8.1365889688158645E-3</v>
          </cell>
          <cell r="G65">
            <v>8.16500335988978E-3</v>
          </cell>
          <cell r="H65">
            <v>7.0402966208995398E-3</v>
          </cell>
          <cell r="I65">
            <v>6.3563969406120035E-5</v>
          </cell>
          <cell r="J65">
            <v>2.7846275603583914E-5</v>
          </cell>
        </row>
        <row r="66">
          <cell r="A66" t="str">
            <v>-</v>
          </cell>
          <cell r="B66" t="str">
            <v>VAR_cap</v>
          </cell>
          <cell r="C66" t="str">
            <v>D-INGA</v>
          </cell>
          <cell r="E66">
            <v>1.9844866127799685</v>
          </cell>
          <cell r="F66">
            <v>1.984487873767061</v>
          </cell>
          <cell r="G66">
            <v>1.9844894630267167</v>
          </cell>
          <cell r="H66">
            <v>1.9844913471606735</v>
          </cell>
          <cell r="I66">
            <v>1.9845014370655709</v>
          </cell>
          <cell r="J66">
            <v>1.0956652355725571</v>
          </cell>
        </row>
        <row r="67">
          <cell r="A67" t="str">
            <v>-</v>
          </cell>
          <cell r="B67" t="str">
            <v>VAR_cap</v>
          </cell>
          <cell r="C67" t="str">
            <v>SUP_H2DSL</v>
          </cell>
          <cell r="H67">
            <v>3.2692834308237599E-6</v>
          </cell>
          <cell r="I67">
            <v>4.9508800791864399E-3</v>
          </cell>
          <cell r="J67">
            <v>0.60425683933708363</v>
          </cell>
        </row>
        <row r="68">
          <cell r="A68" t="str">
            <v>-</v>
          </cell>
          <cell r="B68" t="str">
            <v>VAR_cap</v>
          </cell>
          <cell r="C68" t="str">
            <v>SUP_DAC</v>
          </cell>
          <cell r="I68">
            <v>2.12195241514991E-3</v>
          </cell>
          <cell r="J68">
            <v>8.2160205190614129E-3</v>
          </cell>
        </row>
        <row r="69">
          <cell r="A69" t="str">
            <v>-</v>
          </cell>
          <cell r="B69" t="str">
            <v>VAR_cap</v>
          </cell>
          <cell r="C69" t="str">
            <v>CT_CWODBDSCCS</v>
          </cell>
          <cell r="I69">
            <v>2.8903225206738699E-5</v>
          </cell>
          <cell r="J69">
            <v>4.93823783580798E-2</v>
          </cell>
        </row>
        <row r="70">
          <cell r="A70" t="str">
            <v>CO2_M</v>
          </cell>
          <cell r="B70" t="str">
            <v>VAR_fin</v>
          </cell>
          <cell r="C70" t="str">
            <v>SUP_H2NGA</v>
          </cell>
          <cell r="I70">
            <v>43.398388438210866</v>
          </cell>
          <cell r="J70">
            <v>16.652621011590195</v>
          </cell>
        </row>
        <row r="71">
          <cell r="A71" t="str">
            <v>CO2_M</v>
          </cell>
          <cell r="B71" t="str">
            <v>VAR_fin</v>
          </cell>
          <cell r="C71" t="str">
            <v>SUP_H2GSL</v>
          </cell>
          <cell r="I71">
            <v>237.37930024193435</v>
          </cell>
          <cell r="J71">
            <v>34.041809100619346</v>
          </cell>
        </row>
        <row r="72">
          <cell r="A72" t="str">
            <v>CO2_M</v>
          </cell>
          <cell r="B72" t="str">
            <v>VAR_fin</v>
          </cell>
          <cell r="C72" t="str">
            <v>SUP_H2DSL</v>
          </cell>
          <cell r="I72">
            <v>0.36362653838187931</v>
          </cell>
          <cell r="J72">
            <v>342.73487913235113</v>
          </cell>
        </row>
        <row r="73">
          <cell r="A73" t="str">
            <v>ELC35</v>
          </cell>
          <cell r="B73" t="str">
            <v>VAR_fout</v>
          </cell>
          <cell r="C73" t="str">
            <v>SUP_WSTBIO</v>
          </cell>
          <cell r="E73">
            <v>0.11258845860630171</v>
          </cell>
          <cell r="F73">
            <v>0.12476482829540161</v>
          </cell>
          <cell r="G73">
            <v>0.12058133311466235</v>
          </cell>
          <cell r="H73">
            <v>0.12437536167998826</v>
          </cell>
          <cell r="I73">
            <v>1.6822314074127101E-3</v>
          </cell>
          <cell r="J73">
            <v>2.930387574300299E-6</v>
          </cell>
        </row>
        <row r="74">
          <cell r="A74" t="str">
            <v>ELC35</v>
          </cell>
          <cell r="B74" t="str">
            <v>VAR_fout</v>
          </cell>
          <cell r="C74" t="str">
            <v>SUP_WODBIO</v>
          </cell>
          <cell r="F74">
            <v>3.1546058735046972E-6</v>
          </cell>
          <cell r="G74">
            <v>8.4384122166082864E-6</v>
          </cell>
          <cell r="H74">
            <v>1.9559549732817898E-4</v>
          </cell>
          <cell r="I74">
            <v>0.25328880886836008</v>
          </cell>
          <cell r="J74">
            <v>0.23602278645725858</v>
          </cell>
        </row>
        <row r="75">
          <cell r="A75" t="str">
            <v>ELC35</v>
          </cell>
          <cell r="B75" t="str">
            <v>VAR_fout</v>
          </cell>
          <cell r="C75" t="str">
            <v>SUP_WODBIOCCS</v>
          </cell>
          <cell r="I75">
            <v>1.2771901900787642E-5</v>
          </cell>
          <cell r="J75">
            <v>1.7276942924868786E-2</v>
          </cell>
        </row>
        <row r="76">
          <cell r="A76" t="str">
            <v>ELC35</v>
          </cell>
          <cell r="B76" t="str">
            <v>VAR_fin</v>
          </cell>
          <cell r="C76" t="str">
            <v>D-CELC</v>
          </cell>
          <cell r="E76">
            <v>0.27911716191197211</v>
          </cell>
          <cell r="F76">
            <v>0.40925409303278665</v>
          </cell>
          <cell r="G76">
            <v>0.41539276525954549</v>
          </cell>
          <cell r="H76">
            <v>0.37398415859524919</v>
          </cell>
          <cell r="I76">
            <v>7.2935661664703506</v>
          </cell>
          <cell r="J76">
            <v>14.261141943553522</v>
          </cell>
        </row>
        <row r="77">
          <cell r="A77" t="str">
            <v>CO2_O</v>
          </cell>
          <cell r="B77" t="str">
            <v>VAR_fout</v>
          </cell>
          <cell r="C77" t="str">
            <v>SUP_WSTHTGBIOCCS</v>
          </cell>
          <cell r="I77">
            <v>4.046783294333103E-3</v>
          </cell>
          <cell r="J77">
            <v>4.5526899524344451</v>
          </cell>
        </row>
        <row r="78">
          <cell r="A78" t="str">
            <v>CO2_O</v>
          </cell>
          <cell r="B78" t="str">
            <v>VAR_fout</v>
          </cell>
          <cell r="C78" t="str">
            <v>SUP_WODH2CCS</v>
          </cell>
          <cell r="J78">
            <v>844.64985796295468</v>
          </cell>
        </row>
        <row r="79">
          <cell r="A79" t="str">
            <v>CO2_O</v>
          </cell>
          <cell r="B79" t="str">
            <v>VAR_fout</v>
          </cell>
          <cell r="C79" t="str">
            <v>SUP_WODBIOCCS</v>
          </cell>
          <cell r="I79">
            <v>1.7489488463811553E-2</v>
          </cell>
          <cell r="J79">
            <v>27.521561285552231</v>
          </cell>
        </row>
        <row r="80">
          <cell r="A80" t="str">
            <v>CO2_O</v>
          </cell>
          <cell r="B80" t="str">
            <v>VAR_fout</v>
          </cell>
          <cell r="C80" t="str">
            <v>SUP_NGAH2CCS</v>
          </cell>
          <cell r="J80">
            <v>2.6188096920448682E-3</v>
          </cell>
        </row>
        <row r="81">
          <cell r="A81" t="str">
            <v>CO2_O</v>
          </cell>
          <cell r="B81" t="str">
            <v>VAR_fout</v>
          </cell>
          <cell r="C81" t="str">
            <v>CT_CWODETHCCS</v>
          </cell>
          <cell r="I81">
            <v>3.9650743890769886E-4</v>
          </cell>
          <cell r="J81">
            <v>1.6525682290281982E-4</v>
          </cell>
        </row>
        <row r="82">
          <cell r="A82" t="str">
            <v>CO2_O</v>
          </cell>
          <cell r="B82" t="str">
            <v>VAR_fout</v>
          </cell>
          <cell r="C82" t="str">
            <v>SUP_DAC</v>
          </cell>
          <cell r="I82">
            <v>1.9210195111377031E-3</v>
          </cell>
          <cell r="J82">
            <v>5.9423579808010656E-2</v>
          </cell>
        </row>
        <row r="83">
          <cell r="A83" t="str">
            <v>CO2_O</v>
          </cell>
          <cell r="B83" t="str">
            <v>VAR_fout</v>
          </cell>
          <cell r="C83" t="str">
            <v>CT_CWODBDSCCS</v>
          </cell>
          <cell r="I83">
            <v>6.6873267533560281E-3</v>
          </cell>
          <cell r="J83">
            <v>49.939100135273691</v>
          </cell>
        </row>
        <row r="84">
          <cell r="A84" t="str">
            <v>SCH2S</v>
          </cell>
          <cell r="B84" t="str">
            <v>VAR_fin</v>
          </cell>
          <cell r="C84" t="str">
            <v>SUP_NGAH2</v>
          </cell>
          <cell r="J84">
            <v>3.1910112330657387E-5</v>
          </cell>
        </row>
        <row r="85">
          <cell r="A85" t="str">
            <v>SCH2S</v>
          </cell>
          <cell r="B85" t="str">
            <v>VAR_fin</v>
          </cell>
          <cell r="C85" t="str">
            <v>SUP_NGAH2CCS</v>
          </cell>
          <cell r="J85">
            <v>3.5998459787850856E-5</v>
          </cell>
        </row>
        <row r="86">
          <cell r="A86" t="str">
            <v>CWST</v>
          </cell>
          <cell r="B86" t="str">
            <v>VAR_fout</v>
          </cell>
          <cell r="C86" t="str">
            <v>D-CWST</v>
          </cell>
          <cell r="E86">
            <v>9.6793906270389094</v>
          </cell>
          <cell r="F86">
            <v>10.726210524024664</v>
          </cell>
          <cell r="G86">
            <v>10.366549466914821</v>
          </cell>
          <cell r="H86">
            <v>10.692727522716694</v>
          </cell>
          <cell r="I86">
            <v>14.601639452615276</v>
          </cell>
          <cell r="J86">
            <v>17.09653684796465</v>
          </cell>
        </row>
        <row r="87">
          <cell r="A87" t="str">
            <v>CWST</v>
          </cell>
          <cell r="B87" t="str">
            <v>VAR_fin</v>
          </cell>
          <cell r="C87" t="str">
            <v>SUP_WSTHTGBIO</v>
          </cell>
          <cell r="I87">
            <v>14.457051832599998</v>
          </cell>
          <cell r="J87">
            <v>16.927203775423891</v>
          </cell>
        </row>
        <row r="88">
          <cell r="A88" t="str">
            <v>CWST</v>
          </cell>
          <cell r="B88" t="str">
            <v>VAR_fin</v>
          </cell>
          <cell r="C88" t="str">
            <v>SUP_WSTBIO</v>
          </cell>
          <cell r="E88">
            <v>9.6793906270389094</v>
          </cell>
          <cell r="F88">
            <v>10.726210524024664</v>
          </cell>
          <cell r="G88">
            <v>10.366549466914821</v>
          </cell>
          <cell r="H88">
            <v>10.692727522716694</v>
          </cell>
          <cell r="I88">
            <v>0.1446238372829953</v>
          </cell>
          <cell r="J88">
            <v>2.8925631042369266E-4</v>
          </cell>
        </row>
        <row r="89">
          <cell r="A89" t="str">
            <v>CWST</v>
          </cell>
          <cell r="B89" t="str">
            <v>VAR_fin</v>
          </cell>
          <cell r="C89" t="str">
            <v>SUP_WSTHTGBIOCCS</v>
          </cell>
          <cell r="I89">
            <v>1.5037096069906025E-4</v>
          </cell>
          <cell r="J89">
            <v>0.16916951369034075</v>
          </cell>
        </row>
        <row r="90">
          <cell r="A90" t="str">
            <v>NGA</v>
          </cell>
          <cell r="B90" t="str">
            <v>VAR_fout</v>
          </cell>
          <cell r="C90" t="str">
            <v>SUP_H2NGA</v>
          </cell>
          <cell r="I90">
            <v>0.76947497230870421</v>
          </cell>
          <cell r="J90">
            <v>0.29525923779415242</v>
          </cell>
        </row>
        <row r="91">
          <cell r="A91" t="str">
            <v>NGA</v>
          </cell>
          <cell r="B91" t="str">
            <v>VAR_fout</v>
          </cell>
          <cell r="C91" t="str">
            <v>D-LNGA</v>
          </cell>
          <cell r="H91">
            <v>3.0629238462320917E-3</v>
          </cell>
          <cell r="I91">
            <v>4.6853911679972486E-3</v>
          </cell>
          <cell r="J91">
            <v>7.5461780264044119E-5</v>
          </cell>
        </row>
        <row r="92">
          <cell r="A92" t="str">
            <v>NGA</v>
          </cell>
          <cell r="B92" t="str">
            <v>VAR_fin</v>
          </cell>
          <cell r="C92" t="str">
            <v>D-ENGA</v>
          </cell>
          <cell r="E92">
            <v>5.5372098538561545</v>
          </cell>
          <cell r="F92">
            <v>2.769819962653072</v>
          </cell>
          <cell r="G92">
            <v>3.4937428035446092</v>
          </cell>
          <cell r="H92">
            <v>5.1908774983925126</v>
          </cell>
          <cell r="I92">
            <v>1.8935204145328455</v>
          </cell>
          <cell r="J92">
            <v>5.1770615842386161E-5</v>
          </cell>
        </row>
        <row r="93">
          <cell r="A93" t="str">
            <v>NGA</v>
          </cell>
          <cell r="B93" t="str">
            <v>VAR_fin</v>
          </cell>
          <cell r="C93" t="str">
            <v>D-TNGA</v>
          </cell>
          <cell r="E93">
            <v>0.22352064429864218</v>
          </cell>
          <cell r="F93">
            <v>6.9144491028633098E-2</v>
          </cell>
          <cell r="G93">
            <v>0.14187902233398836</v>
          </cell>
          <cell r="H93">
            <v>6.0171687552765651E-3</v>
          </cell>
          <cell r="I93">
            <v>2.7066347013093919E-3</v>
          </cell>
          <cell r="J93">
            <v>6.1017402487556396E-4</v>
          </cell>
        </row>
        <row r="94">
          <cell r="A94" t="str">
            <v>NGA</v>
          </cell>
          <cell r="B94" t="str">
            <v>VAR_fin</v>
          </cell>
          <cell r="C94" t="str">
            <v>D-SNGA</v>
          </cell>
          <cell r="E94">
            <v>27.016534676738925</v>
          </cell>
          <cell r="F94">
            <v>26.639362047606845</v>
          </cell>
          <cell r="G94">
            <v>22.904813653754491</v>
          </cell>
          <cell r="H94">
            <v>15.480531858841246</v>
          </cell>
          <cell r="I94">
            <v>3.6396134723046591</v>
          </cell>
          <cell r="J94">
            <v>0.14008787257219335</v>
          </cell>
        </row>
        <row r="95">
          <cell r="A95" t="str">
            <v>NGA</v>
          </cell>
          <cell r="B95" t="str">
            <v>VAR_fin</v>
          </cell>
          <cell r="C95" t="str">
            <v>D-RNGA</v>
          </cell>
          <cell r="E95">
            <v>47.069149093476966</v>
          </cell>
          <cell r="F95">
            <v>45.985548145339216</v>
          </cell>
          <cell r="G95">
            <v>46.075934866566101</v>
          </cell>
          <cell r="H95">
            <v>37.288943952509605</v>
          </cell>
          <cell r="I95">
            <v>12.03330599146261</v>
          </cell>
          <cell r="J95">
            <v>0.15554578496269608</v>
          </cell>
        </row>
        <row r="96">
          <cell r="A96" t="str">
            <v>NGA</v>
          </cell>
          <cell r="B96" t="str">
            <v>VAR_fin</v>
          </cell>
          <cell r="C96" t="str">
            <v>D-INGA</v>
          </cell>
          <cell r="E96">
            <v>37.276344234374584</v>
          </cell>
          <cell r="F96">
            <v>31.256501890356375</v>
          </cell>
          <cell r="G96">
            <v>33.771063834130118</v>
          </cell>
          <cell r="H96">
            <v>23.092080419646507</v>
          </cell>
          <cell r="I96">
            <v>5.6186778989701747</v>
          </cell>
          <cell r="J96">
            <v>4.2368490335166545E-5</v>
          </cell>
        </row>
        <row r="97">
          <cell r="A97" t="str">
            <v>CO2</v>
          </cell>
          <cell r="B97" t="str">
            <v>VAR_fout</v>
          </cell>
          <cell r="C97" t="str">
            <v>D-ENGA</v>
          </cell>
          <cell r="E97">
            <v>312.29863575748698</v>
          </cell>
          <cell r="F97">
            <v>156.21784589363301</v>
          </cell>
          <cell r="G97">
            <v>197.04709411991601</v>
          </cell>
          <cell r="H97">
            <v>292.76549090933798</v>
          </cell>
          <cell r="I97">
            <v>106.79455137965201</v>
          </cell>
          <cell r="J97">
            <v>2.91986273351058E-3</v>
          </cell>
        </row>
        <row r="98">
          <cell r="A98" t="str">
            <v>CO2</v>
          </cell>
          <cell r="B98" t="str">
            <v>VAR_fout</v>
          </cell>
          <cell r="C98" t="str">
            <v>D-ILFO</v>
          </cell>
          <cell r="E98">
            <v>689.88023414805502</v>
          </cell>
          <cell r="F98">
            <v>659.57730291408404</v>
          </cell>
          <cell r="G98">
            <v>597.94327486664304</v>
          </cell>
          <cell r="H98">
            <v>470.79995173837898</v>
          </cell>
          <cell r="I98">
            <v>179.17851926010499</v>
          </cell>
          <cell r="J98">
            <v>1.14406678394213E-3</v>
          </cell>
        </row>
        <row r="99">
          <cell r="A99" t="str">
            <v>CO2</v>
          </cell>
          <cell r="B99" t="str">
            <v>VAR_fout</v>
          </cell>
          <cell r="C99" t="str">
            <v>D-TNGA</v>
          </cell>
          <cell r="E99">
            <v>12.6065643384434</v>
          </cell>
          <cell r="F99">
            <v>3.8997492940149101</v>
          </cell>
          <cell r="G99">
            <v>8.0019768596369403</v>
          </cell>
          <cell r="H99">
            <v>0.33936831779759802</v>
          </cell>
          <cell r="I99">
            <v>0.15265419715385001</v>
          </cell>
          <cell r="J99">
            <v>3.4413815002981803E-2</v>
          </cell>
        </row>
        <row r="100">
          <cell r="A100" t="str">
            <v>CO2</v>
          </cell>
          <cell r="B100" t="str">
            <v>VAR_fout</v>
          </cell>
          <cell r="C100" t="str">
            <v>D-SNGA</v>
          </cell>
          <cell r="E100">
            <v>1523.7325557680699</v>
          </cell>
          <cell r="F100">
            <v>1502.46001948503</v>
          </cell>
          <cell r="G100">
            <v>1291.8314900717501</v>
          </cell>
          <cell r="H100">
            <v>873.10199683864596</v>
          </cell>
          <cell r="I100">
            <v>205.27419983798299</v>
          </cell>
          <cell r="J100">
            <v>7.9009560130717196</v>
          </cell>
        </row>
        <row r="101">
          <cell r="A101" t="str">
            <v>CO2</v>
          </cell>
          <cell r="B101" t="str">
            <v>VAR_fout</v>
          </cell>
          <cell r="C101" t="str">
            <v>D-RNGA</v>
          </cell>
          <cell r="E101">
            <v>2654.7000088721002</v>
          </cell>
          <cell r="F101">
            <v>2593.5849153971299</v>
          </cell>
          <cell r="G101">
            <v>2598.6827264743301</v>
          </cell>
          <cell r="H101">
            <v>2103.0964389215401</v>
          </cell>
          <cell r="I101">
            <v>678.67845791849095</v>
          </cell>
          <cell r="J101">
            <v>8.77278227189605</v>
          </cell>
        </row>
        <row r="102">
          <cell r="A102" t="str">
            <v>CO2</v>
          </cell>
          <cell r="B102" t="str">
            <v>VAR_fout</v>
          </cell>
          <cell r="C102" t="str">
            <v>SUP_WSTHTGBIOCCS</v>
          </cell>
          <cell r="I102">
            <v>-4.0467832943331004E-3</v>
          </cell>
          <cell r="J102">
            <v>-4.5526899524344504</v>
          </cell>
        </row>
        <row r="103">
          <cell r="A103" t="str">
            <v>CO2</v>
          </cell>
          <cell r="B103" t="str">
            <v>VAR_fout</v>
          </cell>
          <cell r="C103" t="str">
            <v>D-SLFO</v>
          </cell>
          <cell r="E103">
            <v>2267.78912645133</v>
          </cell>
          <cell r="F103">
            <v>1754.7395412978101</v>
          </cell>
          <cell r="G103">
            <v>1888.8421584524799</v>
          </cell>
          <cell r="H103">
            <v>944.88033551678905</v>
          </cell>
          <cell r="I103">
            <v>186.25898926752899</v>
          </cell>
          <cell r="J103">
            <v>3.2268183876407899E-3</v>
          </cell>
        </row>
        <row r="104">
          <cell r="A104" t="str">
            <v>CO2</v>
          </cell>
          <cell r="B104" t="str">
            <v>VAR_fout</v>
          </cell>
          <cell r="C104" t="str">
            <v>D-RLFO</v>
          </cell>
          <cell r="E104">
            <v>4514.4907642769003</v>
          </cell>
          <cell r="F104">
            <v>3820.6652550645599</v>
          </cell>
          <cell r="G104">
            <v>3635.0251747873199</v>
          </cell>
          <cell r="H104">
            <v>1600.04470374419</v>
          </cell>
          <cell r="I104">
            <v>237.91100371300001</v>
          </cell>
          <cell r="J104">
            <v>4.8702979698773703E-3</v>
          </cell>
        </row>
        <row r="105">
          <cell r="A105" t="str">
            <v>CO2</v>
          </cell>
          <cell r="B105" t="str">
            <v>VAR_fout</v>
          </cell>
          <cell r="C105" t="str">
            <v>D-TGSL</v>
          </cell>
          <cell r="E105">
            <v>5820.8304410505398</v>
          </cell>
          <cell r="F105">
            <v>5883.4654783866599</v>
          </cell>
          <cell r="G105">
            <v>5311.4669381252297</v>
          </cell>
          <cell r="H105">
            <v>4560.1525233268703</v>
          </cell>
          <cell r="I105">
            <v>650.93627024740704</v>
          </cell>
          <cell r="J105">
            <v>34.041809100619297</v>
          </cell>
        </row>
        <row r="106">
          <cell r="A106" t="str">
            <v>CO2</v>
          </cell>
          <cell r="B106" t="str">
            <v>VAR_fout</v>
          </cell>
          <cell r="C106" t="str">
            <v>SUP_WODH2CCS</v>
          </cell>
          <cell r="J106">
            <v>-844.649857962954</v>
          </cell>
        </row>
        <row r="107">
          <cell r="A107" t="str">
            <v>CO2</v>
          </cell>
          <cell r="B107" t="str">
            <v>VAR_fout</v>
          </cell>
          <cell r="C107" t="str">
            <v>SUP_WODBIOCCS</v>
          </cell>
          <cell r="I107">
            <v>-1.7489488463811601E-2</v>
          </cell>
          <cell r="J107">
            <v>-27.521561285552199</v>
          </cell>
        </row>
        <row r="108">
          <cell r="A108" t="str">
            <v>CO2</v>
          </cell>
          <cell r="B108" t="str">
            <v>VAR_fout</v>
          </cell>
          <cell r="C108" t="str">
            <v>SUP_NGAH2CCS</v>
          </cell>
          <cell r="J108">
            <v>-2.6188096920448699E-3</v>
          </cell>
        </row>
        <row r="109">
          <cell r="A109" t="str">
            <v>CO2</v>
          </cell>
          <cell r="B109" t="str">
            <v>VAR_fout</v>
          </cell>
          <cell r="C109" t="str">
            <v>CT_CWODETHCCS</v>
          </cell>
          <cell r="I109">
            <v>-3.9650743890769902E-4</v>
          </cell>
          <cell r="J109">
            <v>-1.6525682290281999E-4</v>
          </cell>
        </row>
        <row r="110">
          <cell r="A110" t="str">
            <v>CO2</v>
          </cell>
          <cell r="B110" t="str">
            <v>VAR_fout</v>
          </cell>
          <cell r="C110" t="str">
            <v>D-INGA</v>
          </cell>
          <cell r="E110">
            <v>2102.3858148187301</v>
          </cell>
          <cell r="F110">
            <v>1762.8667066160999</v>
          </cell>
          <cell r="G110">
            <v>1904.68800024494</v>
          </cell>
          <cell r="H110">
            <v>1302.39333566806</v>
          </cell>
          <cell r="I110">
            <v>316.89343350191803</v>
          </cell>
          <cell r="J110">
            <v>2.3895828549033902E-3</v>
          </cell>
        </row>
        <row r="111">
          <cell r="A111" t="str">
            <v>CO2</v>
          </cell>
          <cell r="B111" t="str">
            <v>VAR_fout</v>
          </cell>
          <cell r="C111" t="str">
            <v>SUP_DAC</v>
          </cell>
          <cell r="I111">
            <v>-1.9210195111377E-3</v>
          </cell>
          <cell r="J111">
            <v>-5.9423579808010697E-2</v>
          </cell>
        </row>
        <row r="112">
          <cell r="A112" t="str">
            <v>CO2</v>
          </cell>
          <cell r="B112" t="str">
            <v>VAR_fout</v>
          </cell>
          <cell r="C112" t="str">
            <v>CT_CWODBDSCCS</v>
          </cell>
          <cell r="I112">
            <v>-6.6873267533560299E-3</v>
          </cell>
          <cell r="J112">
            <v>-49.939100135273598</v>
          </cell>
        </row>
        <row r="113">
          <cell r="A113" t="str">
            <v>ENGA</v>
          </cell>
          <cell r="B113" t="str">
            <v>VAR_fout</v>
          </cell>
          <cell r="C113" t="str">
            <v>D-ENGA</v>
          </cell>
          <cell r="E113">
            <v>5.7305327495667706</v>
          </cell>
          <cell r="F113">
            <v>2.7609319644282344</v>
          </cell>
          <cell r="G113">
            <v>3.4848201494898134</v>
          </cell>
          <cell r="H113">
            <v>6.434349487785977</v>
          </cell>
          <cell r="I113">
            <v>3.1474869844654534</v>
          </cell>
          <cell r="J113">
            <v>1.2598629248605016</v>
          </cell>
        </row>
        <row r="114">
          <cell r="A114" t="str">
            <v>ILFO</v>
          </cell>
          <cell r="B114" t="str">
            <v>VAR_fout</v>
          </cell>
          <cell r="C114" t="str">
            <v>D-ILFO</v>
          </cell>
          <cell r="E114">
            <v>9.2043206276054761</v>
          </cell>
          <cell r="F114">
            <v>8.8000216185489357</v>
          </cell>
          <cell r="G114">
            <v>7.9778369597162406</v>
          </cell>
          <cell r="H114">
            <v>6.4443456259363234</v>
          </cell>
          <cell r="I114">
            <v>2.5535297935151133</v>
          </cell>
          <cell r="J114">
            <v>0.16298105915337227</v>
          </cell>
        </row>
        <row r="115">
          <cell r="A115" t="str">
            <v>CHEAT</v>
          </cell>
          <cell r="B115" t="str">
            <v>VAR_fout</v>
          </cell>
          <cell r="C115" t="str">
            <v>D-CHEAT</v>
          </cell>
          <cell r="I115">
            <v>1.0823265495055201</v>
          </cell>
          <cell r="J115">
            <v>1.4929521656215685</v>
          </cell>
        </row>
        <row r="116">
          <cell r="A116" t="str">
            <v>CHEAT</v>
          </cell>
          <cell r="B116" t="str">
            <v>VAR_fin</v>
          </cell>
          <cell r="C116" t="str">
            <v>SUP_ELCH2_SOEC</v>
          </cell>
          <cell r="I116">
            <v>1.0823137763003765</v>
          </cell>
          <cell r="J116">
            <v>1.4925734133620709</v>
          </cell>
        </row>
        <row r="117">
          <cell r="A117" t="str">
            <v>CHEAT</v>
          </cell>
          <cell r="B117" t="str">
            <v>VAR_fin</v>
          </cell>
          <cell r="C117" t="str">
            <v>SUP_DAC</v>
          </cell>
          <cell r="I117">
            <v>1.2773205142909051E-5</v>
          </cell>
          <cell r="J117">
            <v>3.7875225949761539E-4</v>
          </cell>
        </row>
        <row r="118">
          <cell r="A118" t="str">
            <v>EH2</v>
          </cell>
          <cell r="B118" t="str">
            <v>VAR_fout</v>
          </cell>
          <cell r="C118" t="str">
            <v>D-ENGA</v>
          </cell>
          <cell r="I118">
            <v>2.1571126514980943E-3</v>
          </cell>
          <cell r="J118">
            <v>1.6545074189657115E-3</v>
          </cell>
        </row>
        <row r="119">
          <cell r="A119" t="str">
            <v>TDSL</v>
          </cell>
          <cell r="B119" t="str">
            <v>VAR_fout</v>
          </cell>
          <cell r="C119" t="str">
            <v>D-TBDS1</v>
          </cell>
          <cell r="E119">
            <v>2.9737862406202415</v>
          </cell>
          <cell r="F119">
            <v>2.9709400790582903</v>
          </cell>
          <cell r="G119">
            <v>3.9768592266362237</v>
          </cell>
          <cell r="H119">
            <v>2.3806448760816941</v>
          </cell>
          <cell r="I119">
            <v>1.1993822718914484</v>
          </cell>
          <cell r="J119">
            <v>13.881298939437487</v>
          </cell>
        </row>
        <row r="120">
          <cell r="A120" t="str">
            <v>CNGA</v>
          </cell>
          <cell r="B120" t="str">
            <v>VAR_fout</v>
          </cell>
          <cell r="C120" t="str">
            <v>D-CNGA</v>
          </cell>
          <cell r="J120">
            <v>9.4158670760717425E-5</v>
          </cell>
        </row>
        <row r="121">
          <cell r="A121" t="str">
            <v>CNGA</v>
          </cell>
          <cell r="B121" t="str">
            <v>VAR_fin</v>
          </cell>
          <cell r="C121" t="str">
            <v>SUP_NGAH2</v>
          </cell>
          <cell r="J121">
            <v>4.1986989908759755E-5</v>
          </cell>
        </row>
        <row r="122">
          <cell r="A122" t="str">
            <v>CNGA</v>
          </cell>
          <cell r="B122" t="str">
            <v>VAR_fin</v>
          </cell>
          <cell r="C122" t="str">
            <v>SUP_NGAH2CCS</v>
          </cell>
          <cell r="J122">
            <v>5.2171680851957704E-5</v>
          </cell>
        </row>
        <row r="123">
          <cell r="A123" t="str">
            <v>LBIO</v>
          </cell>
          <cell r="B123" t="str">
            <v>VAR_fin</v>
          </cell>
          <cell r="C123" t="str">
            <v>D-LBIO</v>
          </cell>
          <cell r="H123">
            <v>1.3897335060742454E-3</v>
          </cell>
          <cell r="I123">
            <v>1.3919616486831365E-4</v>
          </cell>
          <cell r="J123">
            <v>2.4270922606023022E-5</v>
          </cell>
        </row>
        <row r="124">
          <cell r="A124" t="str">
            <v>H2_E</v>
          </cell>
          <cell r="B124" t="str">
            <v>VAR_fout</v>
          </cell>
          <cell r="C124" t="str">
            <v>SUP_ELCH2_D</v>
          </cell>
          <cell r="H124">
            <v>4.2539928698690836E-7</v>
          </cell>
          <cell r="I124">
            <v>1.9047656873100217E-5</v>
          </cell>
          <cell r="J124">
            <v>1.4116404712389676E-5</v>
          </cell>
        </row>
        <row r="125">
          <cell r="A125" t="str">
            <v>H2_E</v>
          </cell>
          <cell r="B125" t="str">
            <v>VAR_fin</v>
          </cell>
          <cell r="C125" t="str">
            <v>D-DH2</v>
          </cell>
          <cell r="H125">
            <v>4.2539928698690836E-7</v>
          </cell>
          <cell r="I125">
            <v>1.9047656873100217E-5</v>
          </cell>
          <cell r="J125">
            <v>1.4106397194473504E-5</v>
          </cell>
        </row>
        <row r="126">
          <cell r="A126" t="str">
            <v>BNGA</v>
          </cell>
          <cell r="B126" t="str">
            <v>VAR_fout</v>
          </cell>
          <cell r="C126" t="str">
            <v>SUP_BIONGA</v>
          </cell>
          <cell r="E126">
            <v>1.1764831598630363</v>
          </cell>
          <cell r="F126">
            <v>4.3992267761689625</v>
          </cell>
          <cell r="G126">
            <v>4.3992853931347309</v>
          </cell>
          <cell r="H126">
            <v>5.2076005072023959</v>
          </cell>
          <cell r="I126">
            <v>11.566337180069118</v>
          </cell>
          <cell r="J126">
            <v>14.187050168057015</v>
          </cell>
        </row>
        <row r="127">
          <cell r="A127" t="str">
            <v>BNGA</v>
          </cell>
          <cell r="B127" t="str">
            <v>VAR_fin</v>
          </cell>
          <cell r="C127" t="str">
            <v>D-ENGA</v>
          </cell>
          <cell r="E127">
            <v>0.21162976788241189</v>
          </cell>
          <cell r="F127">
            <v>3.3739332854529905E-5</v>
          </cell>
          <cell r="G127">
            <v>2.2146046020298659E-3</v>
          </cell>
          <cell r="H127">
            <v>1.2640394974169922</v>
          </cell>
          <cell r="I127">
            <v>1.264040286541106</v>
          </cell>
          <cell r="J127">
            <v>1.2640438708721782</v>
          </cell>
        </row>
        <row r="128">
          <cell r="A128" t="str">
            <v>BNGA</v>
          </cell>
          <cell r="B128" t="str">
            <v>VAR_fin</v>
          </cell>
          <cell r="C128" t="str">
            <v>D-CNGA</v>
          </cell>
          <cell r="J128">
            <v>9.4459471894715576E-5</v>
          </cell>
        </row>
        <row r="129">
          <cell r="A129" t="str">
            <v>BNGA</v>
          </cell>
          <cell r="B129" t="str">
            <v>VAR_fin</v>
          </cell>
          <cell r="C129" t="str">
            <v>D-TNGA</v>
          </cell>
          <cell r="E129">
            <v>1.8782198985898332E-2</v>
          </cell>
          <cell r="F129">
            <v>7.7310689369400071E-3</v>
          </cell>
          <cell r="G129">
            <v>1.3200654167358161E-2</v>
          </cell>
          <cell r="H129">
            <v>3.5786929063148071E-4</v>
          </cell>
          <cell r="I129">
            <v>1.2395477333930708E-3</v>
          </cell>
          <cell r="J129">
            <v>6.9904213936203654E-4</v>
          </cell>
        </row>
        <row r="130">
          <cell r="A130" t="str">
            <v>BNGA</v>
          </cell>
          <cell r="B130" t="str">
            <v>VAR_fin</v>
          </cell>
          <cell r="C130" t="str">
            <v>D-SNGA</v>
          </cell>
          <cell r="E130">
            <v>0.30689375644678984</v>
          </cell>
          <cell r="F130">
            <v>1.9400188038372221</v>
          </cell>
          <cell r="G130">
            <v>0.20873426056158659</v>
          </cell>
          <cell r="H130">
            <v>8.1870404320378632E-4</v>
          </cell>
          <cell r="I130">
            <v>1.4219323677440694</v>
          </cell>
          <cell r="J130">
            <v>2.8343191083269872</v>
          </cell>
        </row>
        <row r="131">
          <cell r="A131" t="str">
            <v>BNGA</v>
          </cell>
          <cell r="B131" t="str">
            <v>VAR_fin</v>
          </cell>
          <cell r="C131" t="str">
            <v>D-RNGA</v>
          </cell>
          <cell r="E131">
            <v>0.3112051657325331</v>
          </cell>
          <cell r="F131">
            <v>2.4517633359792201</v>
          </cell>
          <cell r="G131">
            <v>0.23416156608074171</v>
          </cell>
          <cell r="H131">
            <v>8.3866513001001767E-4</v>
          </cell>
          <cell r="I131">
            <v>4.9383221017812327</v>
          </cell>
          <cell r="J131">
            <v>6.1473079214459743</v>
          </cell>
        </row>
        <row r="132">
          <cell r="A132" t="str">
            <v>BNGA</v>
          </cell>
          <cell r="B132" t="str">
            <v>VAR_fin</v>
          </cell>
          <cell r="C132" t="str">
            <v>D-INGA</v>
          </cell>
          <cell r="E132">
            <v>0.32804447108628992</v>
          </cell>
          <cell r="F132">
            <v>3.5856457869193051E-5</v>
          </cell>
          <cell r="G132">
            <v>3.9412327343159617</v>
          </cell>
          <cell r="H132">
            <v>3.9420141391010213</v>
          </cell>
          <cell r="I132">
            <v>3.9420145670035391</v>
          </cell>
          <cell r="J132">
            <v>3.9420147181695286</v>
          </cell>
        </row>
        <row r="133">
          <cell r="A133" t="str">
            <v>LFO</v>
          </cell>
          <cell r="B133" t="str">
            <v>VAR_fin</v>
          </cell>
          <cell r="C133" t="str">
            <v>D-ILFO</v>
          </cell>
          <cell r="E133">
            <v>9.3606544660523099</v>
          </cell>
          <cell r="F133">
            <v>8.9494885062969374</v>
          </cell>
          <cell r="G133">
            <v>8.1132059004971833</v>
          </cell>
          <cell r="H133">
            <v>6.3880590466537166</v>
          </cell>
          <cell r="I133">
            <v>2.4311875069213684</v>
          </cell>
          <cell r="J133">
            <v>1.5523294219024791E-5</v>
          </cell>
        </row>
        <row r="134">
          <cell r="A134" t="str">
            <v>LFO</v>
          </cell>
          <cell r="B134" t="str">
            <v>VAR_fin</v>
          </cell>
          <cell r="C134" t="str">
            <v>D-SLFO</v>
          </cell>
          <cell r="E134">
            <v>30.770544456598756</v>
          </cell>
          <cell r="F134">
            <v>23.809220370390907</v>
          </cell>
          <cell r="G134">
            <v>25.628794551594044</v>
          </cell>
          <cell r="H134">
            <v>12.820628704434048</v>
          </cell>
          <cell r="I134">
            <v>2.5272590131279364</v>
          </cell>
          <cell r="J134">
            <v>4.3783153156591451E-5</v>
          </cell>
        </row>
        <row r="135">
          <cell r="A135" t="str">
            <v>LFO</v>
          </cell>
          <cell r="B135" t="str">
            <v>VAR_fin</v>
          </cell>
          <cell r="C135" t="str">
            <v>D-RLFO</v>
          </cell>
          <cell r="E135">
            <v>61.254962880283607</v>
          </cell>
          <cell r="F135">
            <v>51.840776866547628</v>
          </cell>
          <cell r="G135">
            <v>49.321915533070786</v>
          </cell>
          <cell r="H135">
            <v>21.710240213625369</v>
          </cell>
          <cell r="I135">
            <v>3.2281004574355574</v>
          </cell>
          <cell r="J135">
            <v>6.6082740432528788E-5</v>
          </cell>
        </row>
        <row r="136">
          <cell r="A136" t="str">
            <v>MNR</v>
          </cell>
          <cell r="B136" t="str">
            <v>VAR_fin</v>
          </cell>
          <cell r="C136" t="str">
            <v>SUP_MNRBIO</v>
          </cell>
          <cell r="E136">
            <v>3.7981272755403661</v>
          </cell>
          <cell r="F136">
            <v>12.540463163667923</v>
          </cell>
          <cell r="G136">
            <v>12.540462853242218</v>
          </cell>
          <cell r="H136">
            <v>12.540446232075002</v>
          </cell>
          <cell r="I136">
            <v>17.360317016608803</v>
          </cell>
          <cell r="J136">
            <v>27.000022953618949</v>
          </cell>
        </row>
        <row r="137">
          <cell r="A137" t="str">
            <v>TNGA</v>
          </cell>
          <cell r="B137" t="str">
            <v>VAR_fout</v>
          </cell>
          <cell r="C137" t="str">
            <v>D-TNGA</v>
          </cell>
          <cell r="E137">
            <v>0.2415324049911079</v>
          </cell>
          <cell r="F137">
            <v>7.7545723285726745E-2</v>
          </cell>
          <cell r="G137">
            <v>0.1557065457163552</v>
          </cell>
          <cell r="H137">
            <v>6.4730012695975265E-3</v>
          </cell>
          <cell r="I137">
            <v>3.9892386996768963E-3</v>
          </cell>
          <cell r="J137">
            <v>1.3506310367572027E-3</v>
          </cell>
        </row>
        <row r="138">
          <cell r="A138" t="str">
            <v>WOD</v>
          </cell>
          <cell r="B138" t="str">
            <v>VAR_fin</v>
          </cell>
          <cell r="C138" t="str">
            <v>D-CWOD</v>
          </cell>
          <cell r="E138">
            <v>9.6462847221835979</v>
          </cell>
          <cell r="F138">
            <v>10.569005985530355</v>
          </cell>
          <cell r="G138">
            <v>4.1075613576401304</v>
          </cell>
          <cell r="H138">
            <v>4.1580528117646285</v>
          </cell>
          <cell r="I138">
            <v>15.120119835026374</v>
          </cell>
          <cell r="J138">
            <v>24.510285031369044</v>
          </cell>
        </row>
        <row r="139">
          <cell r="A139" t="str">
            <v>GSL</v>
          </cell>
          <cell r="B139" t="str">
            <v>VAR_fout</v>
          </cell>
          <cell r="C139" t="str">
            <v>SUP_H2GSL</v>
          </cell>
          <cell r="I139">
            <v>3.2165216834950434</v>
          </cell>
          <cell r="J139">
            <v>0.46127112602465253</v>
          </cell>
        </row>
        <row r="140">
          <cell r="A140" t="str">
            <v>GSL</v>
          </cell>
          <cell r="B140" t="str">
            <v>VAR_fin</v>
          </cell>
          <cell r="C140" t="str">
            <v>D-TGSL</v>
          </cell>
          <cell r="E140">
            <v>78.873041206646931</v>
          </cell>
          <cell r="F140">
            <v>79.721754449683729</v>
          </cell>
          <cell r="G140">
            <v>71.971096722564113</v>
          </cell>
          <cell r="H140">
            <v>61.790684597925122</v>
          </cell>
          <cell r="I140">
            <v>8.8202746645990064</v>
          </cell>
          <cell r="J140">
            <v>0.46127112602465253</v>
          </cell>
        </row>
        <row r="141">
          <cell r="A141" t="str">
            <v>IBIO</v>
          </cell>
          <cell r="B141" t="str">
            <v>VAR_fout</v>
          </cell>
          <cell r="C141" t="str">
            <v>D-IBIO</v>
          </cell>
          <cell r="E141">
            <v>0.43678897104158904</v>
          </cell>
          <cell r="F141">
            <v>0.5520809943217172</v>
          </cell>
          <cell r="G141">
            <v>0.55435557621463849</v>
          </cell>
          <cell r="H141">
            <v>0.55434620857990757</v>
          </cell>
          <cell r="I141">
            <v>0.5543435267172806</v>
          </cell>
          <cell r="J141">
            <v>0.55434299213224747</v>
          </cell>
        </row>
        <row r="142">
          <cell r="A142" t="str">
            <v>SNGA</v>
          </cell>
          <cell r="B142" t="str">
            <v>VAR_fout</v>
          </cell>
          <cell r="C142" t="str">
            <v>D-SNGA</v>
          </cell>
          <cell r="E142">
            <v>27.236418437337111</v>
          </cell>
          <cell r="F142">
            <v>28.488371342321891</v>
          </cell>
          <cell r="G142">
            <v>23.039944057721428</v>
          </cell>
          <cell r="H142">
            <v>15.431931483591708</v>
          </cell>
          <cell r="I142">
            <v>5.045286131456816</v>
          </cell>
          <cell r="J142">
            <v>2.9643340674660323</v>
          </cell>
        </row>
        <row r="143">
          <cell r="A143" t="str">
            <v>AUX_H2STG_IN</v>
          </cell>
          <cell r="B143" t="str">
            <v>VAR_fin</v>
          </cell>
          <cell r="C143" t="str">
            <v>STG-H2</v>
          </cell>
          <cell r="H143">
            <v>1.4332713893264302E-5</v>
          </cell>
          <cell r="I143">
            <v>5.0458312196133038E-5</v>
          </cell>
          <cell r="J143">
            <v>4.924444888420125E-6</v>
          </cell>
        </row>
        <row r="144">
          <cell r="A144" t="str">
            <v>AUX_H2STG_IN</v>
          </cell>
          <cell r="B144" t="str">
            <v>VAR_fin</v>
          </cell>
          <cell r="C144" t="str">
            <v>STG-H2</v>
          </cell>
          <cell r="H144">
            <v>6.0096706137346799E-5</v>
          </cell>
          <cell r="I144">
            <v>0.17283123845389758</v>
          </cell>
          <cell r="J144">
            <v>3.1739939210156298</v>
          </cell>
        </row>
        <row r="145">
          <cell r="A145" t="str">
            <v>AUX_H2STG_IN</v>
          </cell>
          <cell r="B145" t="str">
            <v>VAR_fin</v>
          </cell>
          <cell r="C145" t="str">
            <v>STG-H2</v>
          </cell>
          <cell r="H145">
            <v>1.2919990522431312E-5</v>
          </cell>
          <cell r="I145">
            <v>8.973291255745496E-6</v>
          </cell>
          <cell r="J145">
            <v>4.8764518125845882E-6</v>
          </cell>
        </row>
        <row r="146">
          <cell r="A146" t="str">
            <v>AUX_H2STG_IN</v>
          </cell>
          <cell r="B146" t="str">
            <v>VAR_fin</v>
          </cell>
          <cell r="C146" t="str">
            <v>STG-H2</v>
          </cell>
          <cell r="H146">
            <v>1.4020488933096297E-5</v>
          </cell>
          <cell r="I146">
            <v>7.2533438239670578E-5</v>
          </cell>
          <cell r="J146">
            <v>4.98453686583739E-6</v>
          </cell>
        </row>
        <row r="147">
          <cell r="A147" t="str">
            <v>AUX_H2STG_IN</v>
          </cell>
          <cell r="B147" t="str">
            <v>VAR_fin</v>
          </cell>
          <cell r="C147" t="str">
            <v>STG-H2</v>
          </cell>
          <cell r="H147">
            <v>1.8823512788554822E-5</v>
          </cell>
          <cell r="I147">
            <v>0.17269927341220614</v>
          </cell>
          <cell r="J147">
            <v>3.1739791355820635</v>
          </cell>
        </row>
        <row r="148">
          <cell r="A148" t="str">
            <v>H2</v>
          </cell>
          <cell r="B148" t="str">
            <v>VAR_fout</v>
          </cell>
          <cell r="C148" t="str">
            <v>SUP_NGAH2</v>
          </cell>
          <cell r="J148">
            <v>3.1910112330657387E-5</v>
          </cell>
        </row>
        <row r="149">
          <cell r="A149" t="str">
            <v>H2</v>
          </cell>
          <cell r="B149" t="str">
            <v>VAR_fout</v>
          </cell>
          <cell r="C149" t="str">
            <v>STG-H2</v>
          </cell>
          <cell r="H149">
            <v>1.4677159116334737E-5</v>
          </cell>
          <cell r="I149">
            <v>1.5361554203489589E-5</v>
          </cell>
          <cell r="J149">
            <v>0.57195381626772102</v>
          </cell>
        </row>
        <row r="150">
          <cell r="A150" t="str">
            <v>H2</v>
          </cell>
          <cell r="B150" t="str">
            <v>VAR_fout</v>
          </cell>
          <cell r="C150" t="str">
            <v>STG-H2</v>
          </cell>
          <cell r="H150">
            <v>5.9414607471914382E-5</v>
          </cell>
          <cell r="I150">
            <v>0.17110234285907835</v>
          </cell>
          <cell r="J150">
            <v>3.1422553501540524</v>
          </cell>
        </row>
        <row r="151">
          <cell r="A151" t="str">
            <v>H2</v>
          </cell>
          <cell r="B151" t="str">
            <v>VAR_fout</v>
          </cell>
          <cell r="C151" t="str">
            <v>STG-H2</v>
          </cell>
          <cell r="H151">
            <v>1.7978437521150521E-5</v>
          </cell>
          <cell r="I151">
            <v>0.17105925555473267</v>
          </cell>
          <cell r="J151">
            <v>2.048661939587491</v>
          </cell>
        </row>
        <row r="152">
          <cell r="A152" t="str">
            <v>H2</v>
          </cell>
          <cell r="B152" t="str">
            <v>VAR_fout</v>
          </cell>
          <cell r="C152" t="str">
            <v>STG-H2</v>
          </cell>
          <cell r="H152">
            <v>1.4330082222509676E-5</v>
          </cell>
          <cell r="I152">
            <v>1.783575144383413E-5</v>
          </cell>
          <cell r="J152">
            <v>0.5216342632452956</v>
          </cell>
        </row>
        <row r="153">
          <cell r="A153" t="str">
            <v>H2</v>
          </cell>
          <cell r="B153" t="str">
            <v>VAR_fout</v>
          </cell>
          <cell r="C153" t="str">
            <v>STG-H2</v>
          </cell>
          <cell r="H153">
            <v>1.2428928611919387E-5</v>
          </cell>
          <cell r="I153">
            <v>9.889998698337172E-6</v>
          </cell>
          <cell r="J153">
            <v>5.3310535412654038E-6</v>
          </cell>
        </row>
        <row r="154">
          <cell r="A154" t="str">
            <v>H2</v>
          </cell>
          <cell r="B154" t="str">
            <v>VAR_fout</v>
          </cell>
          <cell r="C154" t="str">
            <v>SUP_WODH2</v>
          </cell>
          <cell r="J154">
            <v>2.6978999345095501E-5</v>
          </cell>
        </row>
        <row r="155">
          <cell r="A155" t="str">
            <v>H2</v>
          </cell>
          <cell r="B155" t="str">
            <v>VAR_fout</v>
          </cell>
          <cell r="C155" t="str">
            <v>SUP_ELCH2_SOEC</v>
          </cell>
          <cell r="I155">
            <v>7.2431768106255889</v>
          </cell>
          <cell r="J155">
            <v>13.433160720258668</v>
          </cell>
        </row>
        <row r="156">
          <cell r="A156" t="str">
            <v>H2</v>
          </cell>
          <cell r="B156" t="str">
            <v>VAR_fout</v>
          </cell>
          <cell r="C156" t="str">
            <v>SUP_WODH2CCS</v>
          </cell>
          <cell r="J156">
            <v>4.8600884684376338</v>
          </cell>
        </row>
        <row r="157">
          <cell r="A157" t="str">
            <v>H2</v>
          </cell>
          <cell r="B157" t="str">
            <v>VAR_fout</v>
          </cell>
          <cell r="C157" t="str">
            <v>SUP_NGAH2CCS</v>
          </cell>
          <cell r="J157">
            <v>3.5998459787850856E-5</v>
          </cell>
        </row>
        <row r="158">
          <cell r="A158" t="str">
            <v>H2</v>
          </cell>
          <cell r="B158" t="str">
            <v>VAR_fout</v>
          </cell>
          <cell r="C158" t="str">
            <v>SUP_ELCH2</v>
          </cell>
          <cell r="E158">
            <v>3.7097584070791318E-3</v>
          </cell>
          <cell r="F158">
            <v>5.0745656094483751E-3</v>
          </cell>
          <cell r="G158">
            <v>5.2327682831193158E-3</v>
          </cell>
          <cell r="H158">
            <v>7.5735209322087453E-3</v>
          </cell>
          <cell r="I158">
            <v>1.5030334165561614E-4</v>
          </cell>
          <cell r="J158">
            <v>0.64373937307094475</v>
          </cell>
        </row>
        <row r="159">
          <cell r="A159" t="str">
            <v>H2</v>
          </cell>
          <cell r="B159" t="str">
            <v>VAR_fout</v>
          </cell>
          <cell r="C159" t="str">
            <v>D-DH2</v>
          </cell>
          <cell r="H159">
            <v>4.2114529411703932E-7</v>
          </cell>
          <cell r="I159">
            <v>1.8857180304369185E-5</v>
          </cell>
          <cell r="J159">
            <v>1.3965333222528762E-5</v>
          </cell>
        </row>
        <row r="160">
          <cell r="A160" t="str">
            <v>H2</v>
          </cell>
          <cell r="B160" t="str">
            <v>VAR_fin</v>
          </cell>
          <cell r="C160" t="str">
            <v>STG-H2</v>
          </cell>
          <cell r="H160">
            <v>1.4332713893264302E-5</v>
          </cell>
          <cell r="I160">
            <v>5.0458312196133038E-5</v>
          </cell>
          <cell r="J160">
            <v>4.924444888420125E-6</v>
          </cell>
        </row>
        <row r="161">
          <cell r="A161" t="str">
            <v>H2</v>
          </cell>
          <cell r="B161" t="str">
            <v>VAR_fin</v>
          </cell>
          <cell r="C161" t="str">
            <v>STG-H2</v>
          </cell>
          <cell r="H161">
            <v>6.0096706137346799E-5</v>
          </cell>
          <cell r="I161">
            <v>0.17283123845389758</v>
          </cell>
          <cell r="J161">
            <v>3.1739939210156298</v>
          </cell>
        </row>
        <row r="162">
          <cell r="A162" t="str">
            <v>H2</v>
          </cell>
          <cell r="B162" t="str">
            <v>VAR_fin</v>
          </cell>
          <cell r="C162" t="str">
            <v>STG-H2</v>
          </cell>
          <cell r="H162">
            <v>1.2919990522431312E-5</v>
          </cell>
          <cell r="I162">
            <v>8.973291255745496E-6</v>
          </cell>
          <cell r="J162">
            <v>4.8764518125845882E-6</v>
          </cell>
        </row>
        <row r="163">
          <cell r="A163" t="str">
            <v>H2</v>
          </cell>
          <cell r="B163" t="str">
            <v>VAR_fin</v>
          </cell>
          <cell r="C163" t="str">
            <v>STG-H2</v>
          </cell>
          <cell r="H163">
            <v>1.4020488933096297E-5</v>
          </cell>
          <cell r="I163">
            <v>7.2533438239670578E-5</v>
          </cell>
          <cell r="J163">
            <v>4.98453686583739E-6</v>
          </cell>
        </row>
        <row r="164">
          <cell r="A164" t="str">
            <v>H2</v>
          </cell>
          <cell r="B164" t="str">
            <v>VAR_fin</v>
          </cell>
          <cell r="C164" t="str">
            <v>STG-H2</v>
          </cell>
          <cell r="H164">
            <v>1.8823512788554822E-5</v>
          </cell>
          <cell r="I164">
            <v>0.17269927341220614</v>
          </cell>
          <cell r="J164">
            <v>3.1739791355820635</v>
          </cell>
        </row>
        <row r="165">
          <cell r="A165" t="str">
            <v>H2</v>
          </cell>
          <cell r="B165" t="str">
            <v>VAR_fin</v>
          </cell>
          <cell r="C165" t="str">
            <v>SUP_H2NGA</v>
          </cell>
          <cell r="I165">
            <v>0.99931814585546064</v>
          </cell>
          <cell r="J165">
            <v>0.38345355557682187</v>
          </cell>
        </row>
        <row r="166">
          <cell r="A166" t="str">
            <v>H2</v>
          </cell>
          <cell r="B166" t="str">
            <v>VAR_fin</v>
          </cell>
          <cell r="C166" t="str">
            <v>D-ENGA</v>
          </cell>
          <cell r="I166">
            <v>2.1330961958839342E-3</v>
          </cell>
          <cell r="J166">
            <v>1.5746207516908676E-3</v>
          </cell>
        </row>
        <row r="167">
          <cell r="A167" t="str">
            <v>H2</v>
          </cell>
          <cell r="B167" t="str">
            <v>VAR_fin</v>
          </cell>
          <cell r="C167" t="str">
            <v>D-TNGA</v>
          </cell>
          <cell r="F167">
            <v>9.1751809937452172E-4</v>
          </cell>
          <cell r="G167">
            <v>1.1235408121901486E-3</v>
          </cell>
          <cell r="H167">
            <v>1.1841374040607421E-4</v>
          </cell>
          <cell r="I167">
            <v>5.5781109311523239E-5</v>
          </cell>
          <cell r="J167">
            <v>4.5723105491715057E-5</v>
          </cell>
        </row>
        <row r="168">
          <cell r="A168" t="str">
            <v>H2</v>
          </cell>
          <cell r="B168" t="str">
            <v>VAR_fin</v>
          </cell>
          <cell r="C168" t="str">
            <v>SUP_H2GSL</v>
          </cell>
          <cell r="I168">
            <v>4.5950309764214969</v>
          </cell>
          <cell r="J168">
            <v>0.65895875146378979</v>
          </cell>
        </row>
        <row r="169">
          <cell r="A169" t="str">
            <v>H2</v>
          </cell>
          <cell r="B169" t="str">
            <v>VAR_fin</v>
          </cell>
          <cell r="C169" t="str">
            <v>D-SNGA</v>
          </cell>
          <cell r="H169">
            <v>2.7879371574038173E-3</v>
          </cell>
          <cell r="I169">
            <v>5.3296733620923772E-4</v>
          </cell>
          <cell r="J169">
            <v>1.3842806642182357E-2</v>
          </cell>
        </row>
        <row r="170">
          <cell r="A170" t="str">
            <v>H2</v>
          </cell>
          <cell r="B170" t="str">
            <v>VAR_fin</v>
          </cell>
          <cell r="C170" t="str">
            <v>D-RNGA</v>
          </cell>
          <cell r="H170">
            <v>3.3469712565650394E-3</v>
          </cell>
          <cell r="I170">
            <v>6.8391293796641933E-4</v>
          </cell>
          <cell r="J170">
            <v>3.2438470377157205E-2</v>
          </cell>
        </row>
        <row r="171">
          <cell r="A171" t="str">
            <v>H2</v>
          </cell>
          <cell r="B171" t="str">
            <v>VAR_fin</v>
          </cell>
          <cell r="C171" t="str">
            <v>D-INGA</v>
          </cell>
          <cell r="I171">
            <v>0.29545607285062148</v>
          </cell>
          <cell r="J171">
            <v>0.10195021562390788</v>
          </cell>
        </row>
        <row r="172">
          <cell r="A172" t="str">
            <v>H2</v>
          </cell>
          <cell r="B172" t="str">
            <v>VAR_fin</v>
          </cell>
          <cell r="C172" t="str">
            <v>SUP_H2DSL</v>
          </cell>
          <cell r="I172">
            <v>8.5531010580486132E-3</v>
          </cell>
          <cell r="J172">
            <v>8.0616944802265422</v>
          </cell>
        </row>
        <row r="173">
          <cell r="A173" t="str">
            <v>AUX_H2STG_OUT</v>
          </cell>
          <cell r="B173" t="str">
            <v>VAR_fout</v>
          </cell>
          <cell r="C173" t="str">
            <v>STG-H2</v>
          </cell>
          <cell r="H173">
            <v>1.4677159116334746E-5</v>
          </cell>
          <cell r="I173">
            <v>1.5361554203489589E-5</v>
          </cell>
          <cell r="J173">
            <v>0.57195381626772102</v>
          </cell>
        </row>
        <row r="174">
          <cell r="A174" t="str">
            <v>AUX_H2STG_OUT</v>
          </cell>
          <cell r="B174" t="str">
            <v>VAR_fout</v>
          </cell>
          <cell r="C174" t="str">
            <v>STG-H2</v>
          </cell>
          <cell r="H174">
            <v>5.9414607471914396E-5</v>
          </cell>
          <cell r="I174">
            <v>0.17110234285907863</v>
          </cell>
          <cell r="J174">
            <v>3.1422553501540524</v>
          </cell>
        </row>
        <row r="175">
          <cell r="A175" t="str">
            <v>AUX_H2STG_OUT</v>
          </cell>
          <cell r="B175" t="str">
            <v>VAR_fout</v>
          </cell>
          <cell r="C175" t="str">
            <v>STG-H2</v>
          </cell>
          <cell r="H175">
            <v>1.7978437521150521E-5</v>
          </cell>
          <cell r="I175">
            <v>0.17105925555473295</v>
          </cell>
          <cell r="J175">
            <v>2.048661939587491</v>
          </cell>
        </row>
        <row r="176">
          <cell r="A176" t="str">
            <v>AUX_H2STG_OUT</v>
          </cell>
          <cell r="B176" t="str">
            <v>VAR_fout</v>
          </cell>
          <cell r="C176" t="str">
            <v>STG-H2</v>
          </cell>
          <cell r="H176">
            <v>1.4330082222509676E-5</v>
          </cell>
          <cell r="I176">
            <v>1.783575144383413E-5</v>
          </cell>
          <cell r="J176">
            <v>0.5216342632452956</v>
          </cell>
        </row>
        <row r="177">
          <cell r="A177" t="str">
            <v>AUX_H2STG_OUT</v>
          </cell>
          <cell r="B177" t="str">
            <v>VAR_fout</v>
          </cell>
          <cell r="C177" t="str">
            <v>STG-H2</v>
          </cell>
          <cell r="H177">
            <v>1.2428928611919387E-5</v>
          </cell>
          <cell r="I177">
            <v>9.889998698337172E-6</v>
          </cell>
          <cell r="J177">
            <v>5.3310535412654038E-6</v>
          </cell>
        </row>
        <row r="178">
          <cell r="A178" t="str">
            <v>RNGA</v>
          </cell>
          <cell r="B178" t="str">
            <v>VAR_fout</v>
          </cell>
          <cell r="C178" t="str">
            <v>D-RNGA</v>
          </cell>
          <cell r="E178">
            <v>47.229474056255469</v>
          </cell>
          <cell r="F178">
            <v>48.283065454645303</v>
          </cell>
          <cell r="G178">
            <v>46.162624408475175</v>
          </cell>
          <cell r="H178">
            <v>37.170887369556674</v>
          </cell>
          <cell r="I178">
            <v>16.917423503214632</v>
          </cell>
          <cell r="J178">
            <v>6.2822727961915836</v>
          </cell>
        </row>
        <row r="179">
          <cell r="A179" t="str">
            <v>CWOD</v>
          </cell>
          <cell r="B179" t="str">
            <v>VAR_fout</v>
          </cell>
          <cell r="C179" t="str">
            <v>D-CWOD</v>
          </cell>
          <cell r="E179">
            <v>9.6462847221835979</v>
          </cell>
          <cell r="F179">
            <v>10.569005985530355</v>
          </cell>
          <cell r="G179">
            <v>4.1075613576401304</v>
          </cell>
          <cell r="H179">
            <v>4.1580528117646285</v>
          </cell>
          <cell r="I179">
            <v>15.120119835026374</v>
          </cell>
          <cell r="J179">
            <v>24.510285031369044</v>
          </cell>
        </row>
        <row r="180">
          <cell r="A180" t="str">
            <v>CWOD</v>
          </cell>
          <cell r="B180" t="str">
            <v>VAR_fin</v>
          </cell>
          <cell r="C180" t="str">
            <v>SUP_WODH2</v>
          </cell>
          <cell r="J180">
            <v>4.4964998908492562E-5</v>
          </cell>
        </row>
        <row r="181">
          <cell r="A181" t="str">
            <v>CWOD</v>
          </cell>
          <cell r="B181" t="str">
            <v>VAR_fin</v>
          </cell>
          <cell r="C181" t="str">
            <v>SUP_WODBIO</v>
          </cell>
          <cell r="F181">
            <v>1.0646794823078336E-4</v>
          </cell>
          <cell r="G181">
            <v>2.8479641231052961E-4</v>
          </cell>
          <cell r="H181">
            <v>6.601348034826043E-3</v>
          </cell>
          <cell r="I181">
            <v>8.548497299307142</v>
          </cell>
          <cell r="J181">
            <v>7.9657690429324717</v>
          </cell>
        </row>
        <row r="182">
          <cell r="A182" t="str">
            <v>CWOD</v>
          </cell>
          <cell r="B182" t="str">
            <v>VAR_fin</v>
          </cell>
          <cell r="C182" t="str">
            <v>SUP_WODH2CCS</v>
          </cell>
          <cell r="J182">
            <v>8.3794628766166088</v>
          </cell>
        </row>
        <row r="183">
          <cell r="A183" t="str">
            <v>CWOD</v>
          </cell>
          <cell r="B183" t="str">
            <v>VAR_fin</v>
          </cell>
          <cell r="C183" t="str">
            <v>SUP_WODBIOCCS</v>
          </cell>
          <cell r="I183">
            <v>3.9565243120532202E-4</v>
          </cell>
          <cell r="J183">
            <v>0.64664409062357786</v>
          </cell>
        </row>
        <row r="184">
          <cell r="A184" t="str">
            <v>CWOD</v>
          </cell>
          <cell r="B184" t="str">
            <v>VAR_fin</v>
          </cell>
          <cell r="C184" t="str">
            <v>CT_CWODBDS</v>
          </cell>
          <cell r="E184">
            <v>2.2486072890398194</v>
          </cell>
          <cell r="F184">
            <v>1.8158316699596362</v>
          </cell>
          <cell r="G184">
            <v>2.0127131456528393</v>
          </cell>
          <cell r="H184">
            <v>2.2212646153920863</v>
          </cell>
          <cell r="I184">
            <v>1.3299197505497806</v>
          </cell>
          <cell r="J184">
            <v>7.707110146050804E-5</v>
          </cell>
        </row>
        <row r="185">
          <cell r="A185" t="str">
            <v>CWOD</v>
          </cell>
          <cell r="B185" t="str">
            <v>VAR_fin</v>
          </cell>
          <cell r="C185" t="str">
            <v>CT_CWODETHCCS</v>
          </cell>
          <cell r="I185">
            <v>2.5287464216052226E-5</v>
          </cell>
          <cell r="J185">
            <v>1.0539338195332891E-5</v>
          </cell>
        </row>
        <row r="186">
          <cell r="A186" t="str">
            <v>CWOD</v>
          </cell>
          <cell r="B186" t="str">
            <v>VAR_fin</v>
          </cell>
          <cell r="C186" t="str">
            <v>CT_CWODPLT</v>
          </cell>
          <cell r="E186">
            <v>7.1187677283789306</v>
          </cell>
          <cell r="F186">
            <v>8.2972777655578316</v>
          </cell>
          <cell r="G186">
            <v>1.6371770319200445</v>
          </cell>
          <cell r="H186">
            <v>1.5358493610883039</v>
          </cell>
          <cell r="I186">
            <v>5.2411401486125424</v>
          </cell>
          <cell r="J186">
            <v>6.7220409899118909</v>
          </cell>
        </row>
        <row r="187">
          <cell r="A187" t="str">
            <v>CWOD</v>
          </cell>
          <cell r="B187" t="str">
            <v>VAR_fin</v>
          </cell>
          <cell r="C187" t="str">
            <v>CT_CWODETH</v>
          </cell>
          <cell r="E187">
            <v>0.27890970476484306</v>
          </cell>
          <cell r="F187">
            <v>0.45579008206464344</v>
          </cell>
          <cell r="G187">
            <v>0.457386383654938</v>
          </cell>
          <cell r="H187">
            <v>0.39433748724941459</v>
          </cell>
          <cell r="I187">
            <v>3.507474260034671E-5</v>
          </cell>
          <cell r="J187">
            <v>1.2558280970331635E-5</v>
          </cell>
        </row>
        <row r="188">
          <cell r="A188" t="str">
            <v>CWOD</v>
          </cell>
          <cell r="B188" t="str">
            <v>VAR_fin</v>
          </cell>
          <cell r="C188" t="str">
            <v>CT_CWODBDSCCS</v>
          </cell>
          <cell r="I188">
            <v>1.0662191889917131E-4</v>
          </cell>
          <cell r="J188">
            <v>0.79622289756495013</v>
          </cell>
        </row>
        <row r="189">
          <cell r="A189" t="str">
            <v>KER</v>
          </cell>
          <cell r="B189" t="str">
            <v>VAR_fout</v>
          </cell>
          <cell r="C189" t="str">
            <v>SUP_H2DSL</v>
          </cell>
          <cell r="I189">
            <v>4.2487085994715281E-4</v>
          </cell>
        </row>
        <row r="190">
          <cell r="A190" t="str">
            <v>BDS</v>
          </cell>
          <cell r="B190" t="str">
            <v>VAR_fout</v>
          </cell>
          <cell r="C190" t="str">
            <v>IMPBDS</v>
          </cell>
          <cell r="E190">
            <v>2.2319554715857581</v>
          </cell>
          <cell r="F190">
            <v>2.3780156694800638</v>
          </cell>
          <cell r="G190">
            <v>3.3303176327763899</v>
          </cell>
          <cell r="H190">
            <v>2.4308431396269663</v>
          </cell>
          <cell r="I190">
            <v>2.7219936137010681</v>
          </cell>
          <cell r="J190">
            <v>15.91406084071861</v>
          </cell>
        </row>
        <row r="191">
          <cell r="A191" t="str">
            <v>BDS</v>
          </cell>
          <cell r="B191" t="str">
            <v>VAR_fout</v>
          </cell>
          <cell r="C191" t="str">
            <v>CT_CWODBDS</v>
          </cell>
          <cell r="E191">
            <v>0.78912345640983284</v>
          </cell>
          <cell r="F191">
            <v>0.63724571677825559</v>
          </cell>
          <cell r="G191">
            <v>0.70633905795853302</v>
          </cell>
          <cell r="H191">
            <v>0.77952785239238054</v>
          </cell>
          <cell r="I191">
            <v>0.46672038973496449</v>
          </cell>
          <cell r="J191">
            <v>2.7047236869804563E-5</v>
          </cell>
        </row>
        <row r="192">
          <cell r="A192" t="str">
            <v>BDS</v>
          </cell>
          <cell r="B192" t="str">
            <v>VAR_fout</v>
          </cell>
          <cell r="C192" t="str">
            <v>CT_CWODBDSCCS</v>
          </cell>
          <cell r="I192">
            <v>3.7417764133767801E-5</v>
          </cell>
          <cell r="J192">
            <v>0.27942547729950917</v>
          </cell>
        </row>
        <row r="193">
          <cell r="A193" t="str">
            <v>BDS</v>
          </cell>
          <cell r="B193" t="str">
            <v>VAR_fin</v>
          </cell>
          <cell r="C193" t="str">
            <v>D-ILFO</v>
          </cell>
          <cell r="G193">
            <v>1.3327876092408014E-4</v>
          </cell>
          <cell r="H193">
            <v>0.16574270632811991</v>
          </cell>
          <cell r="I193">
            <v>0.16574297825091508</v>
          </cell>
          <cell r="J193">
            <v>0.16574305829872341</v>
          </cell>
        </row>
        <row r="194">
          <cell r="A194" t="str">
            <v>BDS</v>
          </cell>
          <cell r="B194" t="str">
            <v>VAR_fin</v>
          </cell>
          <cell r="C194" t="str">
            <v>D-SLFO</v>
          </cell>
          <cell r="G194">
            <v>1.2587812076851238E-4</v>
          </cell>
          <cell r="H194">
            <v>9.5364053403616355E-4</v>
          </cell>
          <cell r="I194">
            <v>9.026339889555042E-4</v>
          </cell>
          <cell r="J194">
            <v>7.0948388168574031E-2</v>
          </cell>
        </row>
        <row r="195">
          <cell r="A195" t="str">
            <v>BDS</v>
          </cell>
          <cell r="B195" t="str">
            <v>VAR_fin</v>
          </cell>
          <cell r="C195" t="str">
            <v>D-RLFO</v>
          </cell>
          <cell r="G195">
            <v>1.2606685306591056E-4</v>
          </cell>
          <cell r="H195">
            <v>9.5984740495797373E-4</v>
          </cell>
          <cell r="I195">
            <v>9.1954802197284017E-4</v>
          </cell>
          <cell r="J195">
            <v>0.15251026604128287</v>
          </cell>
        </row>
        <row r="196">
          <cell r="A196" t="str">
            <v>BDS</v>
          </cell>
          <cell r="B196" t="str">
            <v>VAR_fin</v>
          </cell>
          <cell r="C196" t="str">
            <v>D-TBDS1</v>
          </cell>
          <cell r="E196">
            <v>3.021078927995593</v>
          </cell>
          <cell r="F196">
            <v>3.0152613862583197</v>
          </cell>
          <cell r="G196">
            <v>4.0363078136924386</v>
          </cell>
          <cell r="H196">
            <v>3.0427435773426139</v>
          </cell>
          <cell r="I196">
            <v>3.0211933880635029</v>
          </cell>
          <cell r="J196">
            <v>15.804336215942566</v>
          </cell>
        </row>
        <row r="197">
          <cell r="A197" t="str">
            <v>BIO</v>
          </cell>
          <cell r="B197" t="str">
            <v>VAR_fout</v>
          </cell>
          <cell r="C197" t="str">
            <v>SUP_WSTHTGBIO</v>
          </cell>
          <cell r="I197">
            <v>10.119936282819992</v>
          </cell>
          <cell r="J197">
            <v>11.849042642796721</v>
          </cell>
        </row>
        <row r="198">
          <cell r="A198" t="str">
            <v>BIO</v>
          </cell>
          <cell r="B198" t="str">
            <v>VAR_fout</v>
          </cell>
          <cell r="C198" t="str">
            <v>SUP_WSTBIO</v>
          </cell>
          <cell r="E198">
            <v>5.6294229303150836</v>
          </cell>
          <cell r="F198">
            <v>6.2382414147700818</v>
          </cell>
          <cell r="G198">
            <v>6.0290666557331196</v>
          </cell>
          <cell r="H198">
            <v>6.2187680839994064</v>
          </cell>
          <cell r="I198">
            <v>8.411157037063545E-2</v>
          </cell>
          <cell r="J198">
            <v>1.6822816325738185E-4</v>
          </cell>
        </row>
        <row r="199">
          <cell r="A199" t="str">
            <v>BIO</v>
          </cell>
          <cell r="B199" t="str">
            <v>VAR_fout</v>
          </cell>
          <cell r="C199" t="str">
            <v>D-LBIO</v>
          </cell>
          <cell r="H199">
            <v>1.3897335060742454E-3</v>
          </cell>
          <cell r="I199">
            <v>1.3919616486831365E-4</v>
          </cell>
          <cell r="J199">
            <v>2.4270922606023022E-5</v>
          </cell>
        </row>
        <row r="200">
          <cell r="A200" t="str">
            <v>BIO</v>
          </cell>
          <cell r="B200" t="str">
            <v>VAR_fout</v>
          </cell>
          <cell r="C200" t="str">
            <v>SUP_MNRBIO</v>
          </cell>
          <cell r="E200">
            <v>1.3280165299092226</v>
          </cell>
          <cell r="F200">
            <v>4.3847773299538249</v>
          </cell>
          <cell r="G200">
            <v>4.3847772214133682</v>
          </cell>
          <cell r="H200">
            <v>4.3847714098164392</v>
          </cell>
          <cell r="I200">
            <v>6.0700409148981853</v>
          </cell>
          <cell r="J200">
            <v>9.4405674663003385</v>
          </cell>
        </row>
        <row r="201">
          <cell r="A201" t="str">
            <v>BIO</v>
          </cell>
          <cell r="B201" t="str">
            <v>VAR_fout</v>
          </cell>
          <cell r="C201" t="str">
            <v>SUP_WSTHTGBIOCCS</v>
          </cell>
          <cell r="I201">
            <v>9.4733705240407931E-5</v>
          </cell>
          <cell r="J201">
            <v>0.10657679362491455</v>
          </cell>
        </row>
        <row r="202">
          <cell r="A202" t="str">
            <v>BIO</v>
          </cell>
          <cell r="B202" t="str">
            <v>VAR_fout</v>
          </cell>
          <cell r="C202" t="str">
            <v>SUP_WODBIO</v>
          </cell>
          <cell r="F202">
            <v>7.8865146837617245E-5</v>
          </cell>
          <cell r="G202">
            <v>2.1096030541520696E-4</v>
          </cell>
          <cell r="H202">
            <v>4.8898874332044696E-3</v>
          </cell>
          <cell r="I202">
            <v>6.332220221708992</v>
          </cell>
          <cell r="J202">
            <v>5.9005696614314553</v>
          </cell>
        </row>
        <row r="203">
          <cell r="A203" t="str">
            <v>BIO</v>
          </cell>
          <cell r="B203" t="str">
            <v>VAR_fout</v>
          </cell>
          <cell r="C203" t="str">
            <v>SUP_WODBIOCCS</v>
          </cell>
          <cell r="I203">
            <v>2.7018322721468875E-4</v>
          </cell>
          <cell r="J203">
            <v>0.43188434193843517</v>
          </cell>
        </row>
        <row r="204">
          <cell r="A204" t="str">
            <v>BIO</v>
          </cell>
          <cell r="B204" t="str">
            <v>VAR_fin</v>
          </cell>
          <cell r="C204" t="str">
            <v>D-IBIO</v>
          </cell>
          <cell r="E204">
            <v>0.43678897104158904</v>
          </cell>
          <cell r="F204">
            <v>0.5520809943217172</v>
          </cell>
          <cell r="G204">
            <v>0.55435557621463849</v>
          </cell>
          <cell r="H204">
            <v>0.55434620857990757</v>
          </cell>
          <cell r="I204">
            <v>0.5543435267172806</v>
          </cell>
          <cell r="J204">
            <v>0.55434299213224747</v>
          </cell>
        </row>
        <row r="205">
          <cell r="A205" t="str">
            <v>BIO</v>
          </cell>
          <cell r="B205" t="str">
            <v>VAR_fin</v>
          </cell>
          <cell r="C205" t="str">
            <v>D-EBIO</v>
          </cell>
          <cell r="E205">
            <v>1.1840099374372226</v>
          </cell>
          <cell r="F205">
            <v>1.183963901909757</v>
          </cell>
          <cell r="G205">
            <v>1.1840158338447899</v>
          </cell>
          <cell r="H205">
            <v>1.6362432907874476</v>
          </cell>
          <cell r="I205">
            <v>1.6362299306370638</v>
          </cell>
          <cell r="J205">
            <v>1.6362093946674612</v>
          </cell>
        </row>
        <row r="206">
          <cell r="A206" t="str">
            <v>BIO</v>
          </cell>
          <cell r="B206" t="str">
            <v>VAR_fin</v>
          </cell>
          <cell r="C206" t="str">
            <v>D-CBIO</v>
          </cell>
          <cell r="E206">
            <v>1.2890839341673759</v>
          </cell>
          <cell r="F206">
            <v>4.8202751670313351</v>
          </cell>
          <cell r="G206">
            <v>4.8203393942055319</v>
          </cell>
          <cell r="H206">
            <v>5.706018053142385</v>
          </cell>
          <cell r="I206">
            <v>12.673347094679746</v>
          </cell>
          <cell r="J206">
            <v>15.544887567279712</v>
          </cell>
        </row>
        <row r="207">
          <cell r="A207" t="str">
            <v>BIO</v>
          </cell>
          <cell r="B207" t="str">
            <v>VAR_fin</v>
          </cell>
          <cell r="C207" t="str">
            <v>D-SBIO</v>
          </cell>
          <cell r="E207">
            <v>4.0477141294122179</v>
          </cell>
          <cell r="F207">
            <v>4.5833165277833956</v>
          </cell>
          <cell r="G207">
            <v>3.855741703216319</v>
          </cell>
          <cell r="H207">
            <v>3.180334784822568</v>
          </cell>
          <cell r="I207">
            <v>7.7251103280268349</v>
          </cell>
          <cell r="J207">
            <v>9.9705315649792663</v>
          </cell>
        </row>
        <row r="208">
          <cell r="A208" t="str">
            <v>TKERintl_SAF</v>
          </cell>
          <cell r="B208" t="str">
            <v>VAR_fout</v>
          </cell>
          <cell r="C208" t="str">
            <v>D-TBDS1intl</v>
          </cell>
          <cell r="H208">
            <v>4.696088554058</v>
          </cell>
          <cell r="I208">
            <v>24.214681474889002</v>
          </cell>
          <cell r="J208">
            <v>42.273215185968198</v>
          </cell>
        </row>
        <row r="209">
          <cell r="A209" t="str">
            <v>EBIO</v>
          </cell>
          <cell r="B209" t="str">
            <v>VAR_fout</v>
          </cell>
          <cell r="C209" t="str">
            <v>D-EBIO</v>
          </cell>
          <cell r="E209">
            <v>1.1840099374372226</v>
          </cell>
          <cell r="F209">
            <v>1.183963901909757</v>
          </cell>
          <cell r="G209">
            <v>1.1840158338447899</v>
          </cell>
          <cell r="H209">
            <v>1.6362432907874476</v>
          </cell>
          <cell r="I209">
            <v>1.6362299306370638</v>
          </cell>
          <cell r="J209">
            <v>1.6362093946674612</v>
          </cell>
        </row>
        <row r="210">
          <cell r="A210" t="str">
            <v>PLT</v>
          </cell>
          <cell r="B210" t="str">
            <v>VAR_fout</v>
          </cell>
          <cell r="C210" t="str">
            <v>CT_CWODPLT</v>
          </cell>
          <cell r="E210">
            <v>5.9797648918383013</v>
          </cell>
          <cell r="F210">
            <v>6.969713323068583</v>
          </cell>
          <cell r="G210">
            <v>1.3752287068128362</v>
          </cell>
          <cell r="H210">
            <v>1.2901134633141742</v>
          </cell>
          <cell r="I210">
            <v>4.4025577248345362</v>
          </cell>
          <cell r="J210">
            <v>5.6465144315259916</v>
          </cell>
        </row>
        <row r="211">
          <cell r="A211" t="str">
            <v>SLFO</v>
          </cell>
          <cell r="B211" t="str">
            <v>VAR_fout</v>
          </cell>
          <cell r="C211" t="str">
            <v>D-SLFO</v>
          </cell>
          <cell r="E211">
            <v>30.256640504322231</v>
          </cell>
          <cell r="F211">
            <v>23.411578643049197</v>
          </cell>
          <cell r="G211">
            <v>25.200889123343046</v>
          </cell>
          <cell r="H211">
            <v>12.607443887257443</v>
          </cell>
          <cell r="I211">
            <v>2.4859322538251218</v>
          </cell>
          <cell r="J211">
            <v>6.980165995608259E-2</v>
          </cell>
        </row>
        <row r="212">
          <cell r="A212" t="str">
            <v>ETH</v>
          </cell>
          <cell r="B212" t="str">
            <v>VAR_fout</v>
          </cell>
          <cell r="C212" t="str">
            <v>IMPETH</v>
          </cell>
          <cell r="E212">
            <v>4.4341556645434848</v>
          </cell>
          <cell r="F212">
            <v>4.3986180849727869</v>
          </cell>
          <cell r="G212">
            <v>3.962450786388759</v>
          </cell>
          <cell r="H212">
            <v>4.3452577641833461</v>
          </cell>
          <cell r="I212">
            <v>4.5711145841850946</v>
          </cell>
          <cell r="J212">
            <v>2.6821998983863039E-2</v>
          </cell>
        </row>
        <row r="213">
          <cell r="A213" t="str">
            <v>ETH</v>
          </cell>
          <cell r="B213" t="str">
            <v>VAR_fout</v>
          </cell>
          <cell r="C213" t="str">
            <v>CT_CWODETHCCS</v>
          </cell>
          <cell r="I213">
            <v>1.2099265175144606E-5</v>
          </cell>
          <cell r="J213">
            <v>5.0427455480061711E-6</v>
          </cell>
        </row>
        <row r="214">
          <cell r="A214" t="str">
            <v>ETH</v>
          </cell>
          <cell r="B214" t="str">
            <v>VAR_fout</v>
          </cell>
          <cell r="C214" t="str">
            <v>CT_CWODETH</v>
          </cell>
          <cell r="E214">
            <v>0.13344961950470954</v>
          </cell>
          <cell r="F214">
            <v>0.21808137897829813</v>
          </cell>
          <cell r="G214">
            <v>0.21884515964351098</v>
          </cell>
          <cell r="H214">
            <v>0.1886782235643133</v>
          </cell>
          <cell r="I214">
            <v>1.6782173492988838E-5</v>
          </cell>
          <cell r="J214">
            <v>6.0087468757567651E-6</v>
          </cell>
        </row>
        <row r="215">
          <cell r="A215" t="str">
            <v>ETH</v>
          </cell>
          <cell r="B215" t="str">
            <v>VAR_fin</v>
          </cell>
          <cell r="C215" t="str">
            <v>D-TGSL</v>
          </cell>
          <cell r="E215">
            <v>4.5676052840481898</v>
          </cell>
          <cell r="F215">
            <v>4.6166994639510852</v>
          </cell>
          <cell r="G215">
            <v>4.1812959460322698</v>
          </cell>
          <cell r="H215">
            <v>4.5339359877476575</v>
          </cell>
          <cell r="I215">
            <v>4.5711434656237619</v>
          </cell>
          <cell r="J215">
            <v>2.6833050476286785E-2</v>
          </cell>
        </row>
        <row r="216">
          <cell r="A216" t="str">
            <v>TGSL</v>
          </cell>
          <cell r="B216" t="str">
            <v>VAR_fout</v>
          </cell>
          <cell r="C216" t="str">
            <v>D-TGSL</v>
          </cell>
          <cell r="E216">
            <v>82.214393594664571</v>
          </cell>
          <cell r="F216">
            <v>83.099007162170025</v>
          </cell>
          <cell r="G216">
            <v>75.033249130513383</v>
          </cell>
          <cell r="H216">
            <v>65.34990456993728</v>
          </cell>
          <cell r="I216">
            <v>13.194616446900366</v>
          </cell>
          <cell r="J216">
            <v>0.48091468012134564</v>
          </cell>
        </row>
        <row r="217">
          <cell r="A217" t="str">
            <v>RLFO</v>
          </cell>
          <cell r="B217" t="str">
            <v>VAR_fout</v>
          </cell>
          <cell r="C217" t="str">
            <v>D-RLFO</v>
          </cell>
          <cell r="E217">
            <v>60.231933613930153</v>
          </cell>
          <cell r="F217">
            <v>50.974975477872782</v>
          </cell>
          <cell r="G217">
            <v>48.498306195678957</v>
          </cell>
          <cell r="H217">
            <v>21.348597502475773</v>
          </cell>
          <cell r="I217">
            <v>3.1750909890919687</v>
          </cell>
          <cell r="J217">
            <v>0.15002794456704951</v>
          </cell>
        </row>
        <row r="218">
          <cell r="A218" t="str">
            <v>CELC_E</v>
          </cell>
          <cell r="B218" t="str">
            <v>VAR_fout</v>
          </cell>
          <cell r="C218" t="str">
            <v>ESOL-PV_E</v>
          </cell>
          <cell r="H218">
            <v>6.5329995904632192E-7</v>
          </cell>
          <cell r="I218">
            <v>2.4577621771742205E-5</v>
          </cell>
          <cell r="J218">
            <v>1.7237949767177734E-5</v>
          </cell>
        </row>
        <row r="219">
          <cell r="A219" t="str">
            <v>CELC_E</v>
          </cell>
          <cell r="B219" t="str">
            <v>VAR_fin</v>
          </cell>
          <cell r="C219" t="str">
            <v>SUP_ELCH2_D</v>
          </cell>
          <cell r="H219">
            <v>5.8273874929713461E-7</v>
          </cell>
          <cell r="I219">
            <v>2.4577621771742205E-5</v>
          </cell>
          <cell r="J219">
            <v>1.7215127698036184E-5</v>
          </cell>
        </row>
        <row r="220">
          <cell r="A220" t="str">
            <v>CBIO</v>
          </cell>
          <cell r="B220" t="str">
            <v>VAR_fout</v>
          </cell>
          <cell r="C220" t="str">
            <v>D-CBIO</v>
          </cell>
          <cell r="E220">
            <v>1.2890839341673759</v>
          </cell>
          <cell r="F220">
            <v>4.8202751670313351</v>
          </cell>
          <cell r="G220">
            <v>4.8203393942055319</v>
          </cell>
          <cell r="H220">
            <v>5.706018053142385</v>
          </cell>
          <cell r="I220">
            <v>12.673347094679746</v>
          </cell>
          <cell r="J220">
            <v>15.544887567279712</v>
          </cell>
        </row>
        <row r="221">
          <cell r="A221" t="str">
            <v>CBIO</v>
          </cell>
          <cell r="B221" t="str">
            <v>VAR_fin</v>
          </cell>
          <cell r="C221" t="str">
            <v>SUP_BIONGA</v>
          </cell>
          <cell r="E221">
            <v>1.2890839341673759</v>
          </cell>
          <cell r="F221">
            <v>4.8202751670313351</v>
          </cell>
          <cell r="G221">
            <v>4.8203393942055319</v>
          </cell>
          <cell r="H221">
            <v>5.706018053142385</v>
          </cell>
          <cell r="I221">
            <v>12.673347094679746</v>
          </cell>
          <cell r="J221">
            <v>15.544887567279712</v>
          </cell>
        </row>
        <row r="222">
          <cell r="A222" t="str">
            <v>RSH2</v>
          </cell>
          <cell r="B222" t="str">
            <v>VAR_fout</v>
          </cell>
          <cell r="C222" t="str">
            <v>D-SNGA</v>
          </cell>
          <cell r="H222">
            <v>2.7912344742000716E-3</v>
          </cell>
          <cell r="I222">
            <v>5.4314662550820241E-4</v>
          </cell>
          <cell r="J222">
            <v>1.3859280952921929E-2</v>
          </cell>
        </row>
        <row r="223">
          <cell r="A223" t="str">
            <v>RSH2</v>
          </cell>
          <cell r="B223" t="str">
            <v>VAR_fout</v>
          </cell>
          <cell r="C223" t="str">
            <v>D-RNGA</v>
          </cell>
          <cell r="H223">
            <v>3.3503048482452892E-3</v>
          </cell>
          <cell r="I223">
            <v>7.0038412865490386E-4</v>
          </cell>
          <cell r="J223">
            <v>3.2448838438144403E-2</v>
          </cell>
        </row>
        <row r="224">
          <cell r="A224" t="str">
            <v>LTH</v>
          </cell>
          <cell r="B224" t="str">
            <v>VAR_fout</v>
          </cell>
          <cell r="C224" t="str">
            <v>SUP_WODBIO</v>
          </cell>
          <cell r="F224">
            <v>9.4638176205140727E-6</v>
          </cell>
          <cell r="G224">
            <v>2.5315236649824842E-5</v>
          </cell>
          <cell r="H224">
            <v>5.8678649198453628E-4</v>
          </cell>
          <cell r="I224">
            <v>0.75986642660507941</v>
          </cell>
          <cell r="J224">
            <v>0.70806835937177459</v>
          </cell>
        </row>
        <row r="225">
          <cell r="A225" t="str">
            <v>LTH</v>
          </cell>
          <cell r="B225" t="str">
            <v>VAR_fout</v>
          </cell>
          <cell r="C225" t="str">
            <v>SUP_WODBIOCCS</v>
          </cell>
          <cell r="I225">
            <v>3.5415183046753806E-5</v>
          </cell>
          <cell r="J225">
            <v>5.1828099463357362E-2</v>
          </cell>
        </row>
        <row r="226">
          <cell r="A226" t="str">
            <v>LTH</v>
          </cell>
          <cell r="B226" t="str">
            <v>VAR_fout</v>
          </cell>
          <cell r="C226" t="str">
            <v>CT_CWODBDS</v>
          </cell>
          <cell r="E226">
            <v>0.30775814799983447</v>
          </cell>
          <cell r="F226">
            <v>0.24852582954351907</v>
          </cell>
          <cell r="G226">
            <v>0.27547223260382764</v>
          </cell>
          <cell r="H226">
            <v>0.30401586243302753</v>
          </cell>
          <cell r="I226">
            <v>0.18202095199663576</v>
          </cell>
          <cell r="J226">
            <v>1.0548422379223766E-5</v>
          </cell>
        </row>
        <row r="227">
          <cell r="A227" t="str">
            <v>LTH</v>
          </cell>
          <cell r="B227" t="str">
            <v>VAR_fout</v>
          </cell>
          <cell r="C227" t="str">
            <v>CT_CWODBDSCCS</v>
          </cell>
          <cell r="I227">
            <v>1.4592928012169423E-5</v>
          </cell>
          <cell r="J227">
            <v>0.10897593614680841</v>
          </cell>
        </row>
        <row r="228">
          <cell r="A228" t="str">
            <v>LTH</v>
          </cell>
          <cell r="B228" t="str">
            <v>VAR_fin</v>
          </cell>
          <cell r="C228" t="str">
            <v>D-CHEAT</v>
          </cell>
          <cell r="I228">
            <v>1.6455016713492747E-4</v>
          </cell>
          <cell r="J228">
            <v>1.2081969909427299</v>
          </cell>
        </row>
        <row r="229">
          <cell r="A229" t="str">
            <v>LNGA</v>
          </cell>
          <cell r="B229" t="str">
            <v>VAR_fin</v>
          </cell>
          <cell r="C229" t="str">
            <v>D-LNGA</v>
          </cell>
          <cell r="H229">
            <v>3.0629238462320917E-3</v>
          </cell>
          <cell r="I229">
            <v>4.6853911679972486E-3</v>
          </cell>
          <cell r="J229">
            <v>7.5461780264044119E-5</v>
          </cell>
        </row>
        <row r="230">
          <cell r="A230" t="str">
            <v>IH2</v>
          </cell>
          <cell r="B230" t="str">
            <v>VAR_fout</v>
          </cell>
          <cell r="C230" t="str">
            <v>D-INGA</v>
          </cell>
          <cell r="I230">
            <v>0.29545865004123545</v>
          </cell>
          <cell r="J230">
            <v>0.10195851758783386</v>
          </cell>
        </row>
        <row r="231">
          <cell r="A231" t="str">
            <v>WHEAT</v>
          </cell>
          <cell r="B231" t="str">
            <v>VAR_fin</v>
          </cell>
          <cell r="C231" t="str">
            <v>D-CHEAT</v>
          </cell>
          <cell r="I231">
            <v>1.082171675621844</v>
          </cell>
          <cell r="J231">
            <v>0.28476989995522278</v>
          </cell>
        </row>
        <row r="232">
          <cell r="A232" t="str">
            <v>SOL</v>
          </cell>
          <cell r="B232" t="str">
            <v>VAR_fin</v>
          </cell>
          <cell r="C232" t="str">
            <v>ESOL-PV_E</v>
          </cell>
          <cell r="H232">
            <v>6.5329995904632192E-7</v>
          </cell>
          <cell r="I232">
            <v>2.4577621771742205E-5</v>
          </cell>
          <cell r="J232">
            <v>1.7237949767177734E-5</v>
          </cell>
        </row>
        <row r="233">
          <cell r="A233" t="str">
            <v>TKER</v>
          </cell>
          <cell r="B233" t="str">
            <v>VAR_fout</v>
          </cell>
          <cell r="C233" t="str">
            <v>D-TBDS1</v>
          </cell>
          <cell r="E233">
            <v>2.89731937818329E-3</v>
          </cell>
          <cell r="F233">
            <v>1.0952319368783001E-5</v>
          </cell>
          <cell r="G233">
            <v>1.3058470445650899E-4</v>
          </cell>
          <cell r="H233">
            <v>0.61740519860776</v>
          </cell>
          <cell r="I233">
            <v>1.7774434372211501</v>
          </cell>
          <cell r="J233">
            <v>1.69080487673038</v>
          </cell>
        </row>
        <row r="234">
          <cell r="A234" t="str">
            <v>BDS1</v>
          </cell>
          <cell r="B234" t="str">
            <v>VAR_fout</v>
          </cell>
          <cell r="C234" t="str">
            <v>IMPBDS1</v>
          </cell>
          <cell r="H234">
            <v>4.696088554058</v>
          </cell>
          <cell r="I234">
            <v>24.214681474889002</v>
          </cell>
          <cell r="J234">
            <v>42.273215185968198</v>
          </cell>
        </row>
        <row r="235">
          <cell r="A235" t="str">
            <v>BDS1</v>
          </cell>
          <cell r="B235" t="str">
            <v>VAR_fin</v>
          </cell>
          <cell r="C235" t="str">
            <v>D-TBDS1intl</v>
          </cell>
          <cell r="H235">
            <v>4.696088554058</v>
          </cell>
          <cell r="I235">
            <v>24.214681474889002</v>
          </cell>
          <cell r="J235">
            <v>42.273215185968198</v>
          </cell>
        </row>
        <row r="236">
          <cell r="A236" t="str">
            <v>CELC</v>
          </cell>
          <cell r="B236" t="str">
            <v>VAR_fout</v>
          </cell>
          <cell r="C236" t="str">
            <v>D-CELC</v>
          </cell>
          <cell r="E236">
            <v>0.27911716191197211</v>
          </cell>
          <cell r="F236">
            <v>0.40925409303278665</v>
          </cell>
          <cell r="G236">
            <v>0.41539276525954549</v>
          </cell>
          <cell r="H236">
            <v>0.37398415859524919</v>
          </cell>
          <cell r="I236">
            <v>7.2935661664703506</v>
          </cell>
          <cell r="J236">
            <v>14.261141943553522</v>
          </cell>
        </row>
        <row r="237">
          <cell r="A237" t="str">
            <v>CELC</v>
          </cell>
          <cell r="B237" t="str">
            <v>VAR_fin</v>
          </cell>
          <cell r="C237" t="str">
            <v>SUP_H2NGA</v>
          </cell>
          <cell r="I237">
            <v>1.7697924363100172E-2</v>
          </cell>
          <cell r="J237">
            <v>6.7909624692655025E-3</v>
          </cell>
        </row>
        <row r="238">
          <cell r="A238" t="str">
            <v>CELC</v>
          </cell>
          <cell r="B238" t="str">
            <v>VAR_fin</v>
          </cell>
          <cell r="C238" t="str">
            <v>SUP_ELCH2_SOEC</v>
          </cell>
          <cell r="I238">
            <v>7.2431768106255889</v>
          </cell>
          <cell r="J238">
            <v>13.433160720258668</v>
          </cell>
        </row>
        <row r="239">
          <cell r="A239" t="str">
            <v>CELC</v>
          </cell>
          <cell r="B239" t="str">
            <v>VAR_fin</v>
          </cell>
          <cell r="C239" t="str">
            <v>SUP_ELCH2</v>
          </cell>
          <cell r="E239">
            <v>5.4157057037651571E-3</v>
          </cell>
          <cell r="F239">
            <v>7.3120541922887233E-3</v>
          </cell>
          <cell r="G239">
            <v>7.3961389160696975E-3</v>
          </cell>
          <cell r="H239">
            <v>1.0374686208505146E-2</v>
          </cell>
          <cell r="I239">
            <v>1.939397956846659E-4</v>
          </cell>
          <cell r="J239">
            <v>0.78504801594017626</v>
          </cell>
        </row>
        <row r="240">
          <cell r="A240" t="str">
            <v>CELC</v>
          </cell>
          <cell r="B240" t="str">
            <v>VAR_fin</v>
          </cell>
          <cell r="C240" t="str">
            <v>CT_CWODBDS</v>
          </cell>
          <cell r="E240">
            <v>5.4844080220483427E-2</v>
          </cell>
          <cell r="F240">
            <v>4.4288577316088734E-2</v>
          </cell>
          <cell r="G240">
            <v>4.9090564528118032E-2</v>
          </cell>
          <cell r="H240">
            <v>5.4177185741270464E-2</v>
          </cell>
          <cell r="I240">
            <v>3.2437067086580014E-2</v>
          </cell>
          <cell r="J240">
            <v>1.879782962451418E-6</v>
          </cell>
        </row>
        <row r="241">
          <cell r="A241" t="str">
            <v>CELC</v>
          </cell>
          <cell r="B241" t="str">
            <v>VAR_fin</v>
          </cell>
          <cell r="C241" t="str">
            <v>CT_CWODETHCCS</v>
          </cell>
          <cell r="I241">
            <v>2.5408456867803671E-5</v>
          </cell>
          <cell r="J241">
            <v>1.0589765650812955E-5</v>
          </cell>
        </row>
        <row r="242">
          <cell r="A242" t="str">
            <v>CELC</v>
          </cell>
          <cell r="B242" t="str">
            <v>VAR_fin</v>
          </cell>
          <cell r="C242" t="str">
            <v>CT_CWODETH</v>
          </cell>
          <cell r="E242">
            <v>0.21885737598772345</v>
          </cell>
          <cell r="F242">
            <v>0.35765346152440886</v>
          </cell>
          <cell r="G242">
            <v>0.35890606181535789</v>
          </cell>
          <cell r="H242">
            <v>0.30943228664547384</v>
          </cell>
          <cell r="I242">
            <v>2.75227645285017E-5</v>
          </cell>
          <cell r="J242">
            <v>9.8543448762410965E-6</v>
          </cell>
        </row>
        <row r="243">
          <cell r="A243" t="str">
            <v>CELC</v>
          </cell>
          <cell r="B243" t="str">
            <v>VAR_fin</v>
          </cell>
          <cell r="C243" t="str">
            <v>SUP_DAC</v>
          </cell>
          <cell r="I243">
            <v>2.6638137221109489E-6</v>
          </cell>
          <cell r="J243">
            <v>5.4075457625289727E-5</v>
          </cell>
        </row>
        <row r="244">
          <cell r="A244" t="str">
            <v>CELC</v>
          </cell>
          <cell r="B244" t="str">
            <v>VAR_fin</v>
          </cell>
          <cell r="C244" t="str">
            <v>CT_CWODBDSCCS</v>
          </cell>
          <cell r="I244">
            <v>4.8295642706941745E-6</v>
          </cell>
          <cell r="J244">
            <v>3.6065845534300874E-2</v>
          </cell>
        </row>
        <row r="245">
          <cell r="A245" t="str">
            <v>SBIO</v>
          </cell>
          <cell r="B245" t="str">
            <v>VAR_fout</v>
          </cell>
          <cell r="C245" t="str">
            <v>D-SBIO</v>
          </cell>
          <cell r="E245">
            <v>4.0477141294122179</v>
          </cell>
          <cell r="F245">
            <v>4.5833165277833956</v>
          </cell>
          <cell r="G245">
            <v>3.855741703216319</v>
          </cell>
          <cell r="H245">
            <v>3.180334784822568</v>
          </cell>
          <cell r="I245">
            <v>7.7251103280268349</v>
          </cell>
          <cell r="J245">
            <v>9.9705315649792663</v>
          </cell>
        </row>
        <row r="246">
          <cell r="A246" t="str">
            <v>INGA</v>
          </cell>
          <cell r="B246" t="str">
            <v>VAR_fout</v>
          </cell>
          <cell r="C246" t="str">
            <v>D-INGA</v>
          </cell>
          <cell r="E246">
            <v>37.4846395417294</v>
          </cell>
          <cell r="F246">
            <v>31.156790013355177</v>
          </cell>
          <cell r="G246">
            <v>37.591995673054235</v>
          </cell>
          <cell r="H246">
            <v>26.947719547059386</v>
          </cell>
          <cell r="I246">
            <v>9.5289340812225358</v>
          </cell>
          <cell r="J246">
            <v>3.928713248588255</v>
          </cell>
        </row>
        <row r="247">
          <cell r="A247" t="str">
            <v>DSL</v>
          </cell>
          <cell r="B247" t="str">
            <v>VAR_fout</v>
          </cell>
          <cell r="C247" t="str">
            <v>SUP_H2DSL</v>
          </cell>
          <cell r="I247">
            <v>3.4979370344628974E-3</v>
          </cell>
          <cell r="J247">
            <v>3.2730482142756201</v>
          </cell>
        </row>
        <row r="248">
          <cell r="A248" t="str">
            <v>WSTREN</v>
          </cell>
          <cell r="B248" t="str">
            <v>VAR_fin</v>
          </cell>
          <cell r="C248" t="str">
            <v>D-CWST</v>
          </cell>
          <cell r="E248">
            <v>9.6793906270389094</v>
          </cell>
          <cell r="F248">
            <v>10.726210524024664</v>
          </cell>
          <cell r="G248">
            <v>10.366549466914821</v>
          </cell>
          <cell r="H248">
            <v>10.692727522716694</v>
          </cell>
          <cell r="I248">
            <v>14.601639452615276</v>
          </cell>
          <cell r="J248">
            <v>17.09653684796465</v>
          </cell>
        </row>
        <row r="249">
          <cell r="A249" t="str">
            <v>SOLPVC</v>
          </cell>
          <cell r="B249" t="str">
            <v>VAR_fin</v>
          </cell>
          <cell r="C249" t="str">
            <v>ESOL-PV_E</v>
          </cell>
          <cell r="H249">
            <v>6.5329995904632097E-7</v>
          </cell>
          <cell r="I249">
            <v>2.4577621771742198E-5</v>
          </cell>
          <cell r="J249">
            <v>1.72379497671777E-5</v>
          </cell>
        </row>
        <row r="250">
          <cell r="A250" t="str">
            <v>KERintl</v>
          </cell>
          <cell r="B250" t="str">
            <v>VAR_fout</v>
          </cell>
          <cell r="C250" t="str">
            <v>SUP_H2DSL</v>
          </cell>
          <cell r="I250">
            <v>1.0383208206507801E-3</v>
          </cell>
          <cell r="J250">
            <v>1.40273895226109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2040</v>
          </cell>
          <cell r="I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1.77240494780899E-2</v>
          </cell>
          <cell r="E4">
            <v>1.7910814396309899E-2</v>
          </cell>
          <cell r="F4">
            <v>1.7859713391965199E-2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4.3897444704661913E-3</v>
          </cell>
          <cell r="E5">
            <v>3.5526278436017358E-3</v>
          </cell>
          <cell r="F5">
            <v>2.2212129089085623E-3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3.1425619642003302E-4</v>
          </cell>
          <cell r="E6">
            <v>3.1756763114024596E-4</v>
          </cell>
          <cell r="F6">
            <v>3.166615849639225E-4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0.99924864680821801</v>
          </cell>
          <cell r="E8">
            <v>4.3532850672328573E-2</v>
          </cell>
          <cell r="F8">
            <v>5.7294494793094494E-2</v>
          </cell>
          <cell r="G8">
            <v>5.1920394524874229E-2</v>
          </cell>
          <cell r="H8">
            <v>4.0081476681031701E-2</v>
          </cell>
          <cell r="I8">
            <v>3.3025301843385181E-2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1.8288314923079684E-3</v>
          </cell>
          <cell r="E9">
            <v>8.0009102292070009E-5</v>
          </cell>
          <cell r="F9">
            <v>1.0598011080020122E-4</v>
          </cell>
          <cell r="G9">
            <v>1.0093414990060843E-4</v>
          </cell>
          <cell r="H9">
            <v>8.4137196123196538E-5</v>
          </cell>
          <cell r="I9">
            <v>7.5312990333771288E-5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1.7717174588798214E-2</v>
          </cell>
          <cell r="E10">
            <v>7.7185905447391091E-4</v>
          </cell>
          <cell r="F10">
            <v>1.0158598367569964E-3</v>
          </cell>
          <cell r="G10">
            <v>9.2057437100840755E-4</v>
          </cell>
          <cell r="H10">
            <v>7.1066448016013774E-4</v>
          </cell>
          <cell r="I10">
            <v>5.8555499722314213E-4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3.1494225026582699E-7</v>
          </cell>
          <cell r="F11">
            <v>3.44661933924731E-7</v>
          </cell>
          <cell r="G11">
            <v>1.4083704810392201E-6</v>
          </cell>
          <cell r="H11">
            <v>8.8925678260254603E-7</v>
          </cell>
          <cell r="I11">
            <v>1.82993461555748E-6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3.6288071189429598E-5</v>
          </cell>
          <cell r="E12">
            <v>1.8810661366738465E-6</v>
          </cell>
          <cell r="F12">
            <v>1.9115574219561707E-6</v>
          </cell>
          <cell r="G12">
            <v>1.9399642989154105E-6</v>
          </cell>
          <cell r="H12">
            <v>1.9606338140414101E-6</v>
          </cell>
          <cell r="I12">
            <v>1.9859890756777801E-6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2.162440318290604E-4</v>
          </cell>
          <cell r="E13">
            <v>1.1532572981611978E-3</v>
          </cell>
          <cell r="F13">
            <v>2.1526105768539319E-3</v>
          </cell>
          <cell r="G13">
            <v>2.3794745282277193E-3</v>
          </cell>
          <cell r="H13">
            <v>1.6312005821265316E-3</v>
          </cell>
          <cell r="I13">
            <v>6.2675415381869648E-4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2.162440318290604E-4</v>
          </cell>
          <cell r="E14">
            <v>1.1532572981611978E-3</v>
          </cell>
          <cell r="F14">
            <v>2.1526105768539319E-3</v>
          </cell>
          <cell r="G14">
            <v>2.3794745282277193E-3</v>
          </cell>
          <cell r="H14">
            <v>1.6312005821265316E-3</v>
          </cell>
          <cell r="I14">
            <v>6.2675415381869648E-4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1.2468521945644399E-4</v>
          </cell>
          <cell r="F15">
            <v>1.68365067922491E-4</v>
          </cell>
          <cell r="G15">
            <v>9.7192236640549794E-5</v>
          </cell>
          <cell r="H15">
            <v>7.58016018819886E-5</v>
          </cell>
          <cell r="I15">
            <v>2.4515081656730499E-5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2.5983909542420697E-5</v>
          </cell>
          <cell r="E16">
            <v>1.4884718138504424E-4</v>
          </cell>
          <cell r="F16">
            <v>3.0759876338091308E-4</v>
          </cell>
          <cell r="G16">
            <v>3.4992756819793172E-4</v>
          </cell>
          <cell r="H16">
            <v>2.3999473352006204E-4</v>
          </cell>
          <cell r="I16">
            <v>9.2936322740792444E-5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1.4889533855567154E-3</v>
          </cell>
          <cell r="E17">
            <v>1.8501792349006785E-3</v>
          </cell>
          <cell r="F17">
            <v>2.6017990453171985E-3</v>
          </cell>
          <cell r="G17">
            <v>1.3089389626996832E-3</v>
          </cell>
          <cell r="H17">
            <v>1.9895571729568486</v>
          </cell>
          <cell r="I17">
            <v>2.6602596434956967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5.5407500977093915E-3</v>
          </cell>
          <cell r="E18">
            <v>6.8366453627343492E-3</v>
          </cell>
          <cell r="F18">
            <v>9.5651579723352621E-3</v>
          </cell>
          <cell r="G18">
            <v>4.6675862118559759E-3</v>
          </cell>
          <cell r="H18">
            <v>6.378962341561782</v>
          </cell>
          <cell r="I18">
            <v>7.8669259510903933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3.3512978803017698E-6</v>
          </cell>
          <cell r="F19">
            <v>7.0391875611858403E-6</v>
          </cell>
          <cell r="G19">
            <v>9.1063831996613899E-6</v>
          </cell>
          <cell r="H19">
            <v>2.1607817909561899E-2</v>
          </cell>
          <cell r="I19">
            <v>4.7989710994549697E-2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3.3903242407386892E-5</v>
          </cell>
          <cell r="E20">
            <v>4.5726856862422164E-5</v>
          </cell>
          <cell r="F20">
            <v>5.1428211096093808E-5</v>
          </cell>
          <cell r="G20">
            <v>2.5381539974554097E-5</v>
          </cell>
          <cell r="H20">
            <v>3.7477196275208222E-2</v>
          </cell>
          <cell r="I20">
            <v>5.1781617345079134E-2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4.8209122097228087E-2</v>
          </cell>
          <cell r="E21">
            <v>9.9290140029914722E-2</v>
          </cell>
          <cell r="F21">
            <v>7.5961153114151067E-2</v>
          </cell>
          <cell r="G21">
            <v>7.1858351802052772E-2</v>
          </cell>
          <cell r="H21">
            <v>4.5644924337598387E-3</v>
          </cell>
          <cell r="I21">
            <v>1.2422116392498224E-3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4.8209122097228087E-2</v>
          </cell>
          <cell r="E22">
            <v>9.9290140029914722E-2</v>
          </cell>
          <cell r="F22">
            <v>7.5961153114151067E-2</v>
          </cell>
          <cell r="G22">
            <v>7.1858351802052772E-2</v>
          </cell>
          <cell r="H22">
            <v>4.5644924337598387E-3</v>
          </cell>
          <cell r="I22">
            <v>1.2422116392498224E-3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7.1567326865544506E-5</v>
          </cell>
          <cell r="F23">
            <v>1.6226095499651699E-4</v>
          </cell>
          <cell r="G23">
            <v>1.3343910443723201E-4</v>
          </cell>
          <cell r="H23">
            <v>3.4076941143443503E-5</v>
          </cell>
          <cell r="I23">
            <v>7.0405427695653303E-6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4.8843439683753645E-3</v>
          </cell>
          <cell r="E24">
            <v>7.5389044788991607E-3</v>
          </cell>
          <cell r="F24">
            <v>7.421079984045992E-3</v>
          </cell>
          <cell r="G24">
            <v>6.1660676453460335E-3</v>
          </cell>
          <cell r="H24">
            <v>4.6275242690813881E-4</v>
          </cell>
          <cell r="I24">
            <v>1.2819977572245053E-4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10.907796822911173</v>
          </cell>
          <cell r="E25">
            <v>11.932856979564651</v>
          </cell>
          <cell r="F25">
            <v>15.521992809362626</v>
          </cell>
          <cell r="G25">
            <v>23.86286353014647</v>
          </cell>
          <cell r="H25">
            <v>62.103966352547062</v>
          </cell>
          <cell r="I25">
            <v>70.297612937949353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F26">
            <v>2.3323151422407501E-5</v>
          </cell>
          <cell r="G26">
            <v>2.1450931678742899E-5</v>
          </cell>
          <cell r="H26">
            <v>3.6629571929644701E-5</v>
          </cell>
          <cell r="I26">
            <v>5.3243116312944897E-5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9.1020294327367347E-3</v>
          </cell>
          <cell r="E27">
            <v>3.8161310493948666E-3</v>
          </cell>
          <cell r="F27">
            <v>4.2475569182886651E-3</v>
          </cell>
          <cell r="G27">
            <v>1.8842326387274653E-2</v>
          </cell>
          <cell r="H27">
            <v>12.990784272201518</v>
          </cell>
          <cell r="I27">
            <v>17.202212755569654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3.24432614122304</v>
          </cell>
          <cell r="E28">
            <v>7.6745984850745796E-2</v>
          </cell>
          <cell r="F28">
            <v>0.18085891461004955</v>
          </cell>
          <cell r="G28">
            <v>2.3496344062806154</v>
          </cell>
          <cell r="H28">
            <v>1.6232525892706278</v>
          </cell>
          <cell r="I28">
            <v>9.2082703537465136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2.1855189302082039</v>
          </cell>
          <cell r="E29">
            <v>5.8506563011983301E-2</v>
          </cell>
          <cell r="F29">
            <v>0.12712042505417032</v>
          </cell>
          <cell r="G29">
            <v>1.0525479339458903</v>
          </cell>
          <cell r="H29">
            <v>0.75229183365042296</v>
          </cell>
          <cell r="I29">
            <v>5.0644157972776531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5.468849722047195</v>
          </cell>
          <cell r="E30">
            <v>11.793822260938255</v>
          </cell>
          <cell r="F30">
            <v>15.209842985120202</v>
          </cell>
          <cell r="G30">
            <v>20.441875287908257</v>
          </cell>
          <cell r="H30">
            <v>46.737674989954016</v>
          </cell>
          <cell r="I30">
            <v>38.822806512874287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4.2778783373333393E-2</v>
          </cell>
          <cell r="E31">
            <v>0.66530443568191933</v>
          </cell>
          <cell r="F31">
            <v>1.1872134977274835</v>
          </cell>
          <cell r="G31">
            <v>1.0100174574617224</v>
          </cell>
          <cell r="H31">
            <v>3.6738628895987402</v>
          </cell>
          <cell r="I31">
            <v>0.96541052595866006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4.2778783373333393E-2</v>
          </cell>
          <cell r="E32">
            <v>0.66530443568191933</v>
          </cell>
          <cell r="F32">
            <v>1.1872134977274835</v>
          </cell>
          <cell r="G32">
            <v>1.0100174574617224</v>
          </cell>
          <cell r="H32">
            <v>3.6738628895987402</v>
          </cell>
          <cell r="I32">
            <v>0.96541052595866006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3.56305022954242E-2</v>
          </cell>
          <cell r="F33">
            <v>3.8999374365093299E-2</v>
          </cell>
          <cell r="G33">
            <v>1.16155774100566E-3</v>
          </cell>
          <cell r="H33">
            <v>9.1069249676174394E-5</v>
          </cell>
          <cell r="I33">
            <v>1.9507567118107298E-5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4.0676881864281636E-3</v>
          </cell>
          <cell r="E34">
            <v>4.5759190023560506E-2</v>
          </cell>
          <cell r="F34">
            <v>8.1677990592701158E-2</v>
          </cell>
          <cell r="G34">
            <v>6.947016907983293E-2</v>
          </cell>
          <cell r="H34">
            <v>0.32715189486728857</v>
          </cell>
          <cell r="I34">
            <v>9.4820076062477471E-2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1.3451525671265223E-5</v>
          </cell>
          <cell r="E35">
            <v>9.6781490795257163E-4</v>
          </cell>
          <cell r="F35">
            <v>1.968908765909039E-3</v>
          </cell>
          <cell r="G35">
            <v>2.2770227575112331E-3</v>
          </cell>
          <cell r="H35">
            <v>1.6241005733803788E-3</v>
          </cell>
          <cell r="I35">
            <v>5.9206306202999614E-4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1.3451525671265223E-5</v>
          </cell>
          <cell r="E36">
            <v>9.6781490795257163E-4</v>
          </cell>
          <cell r="F36">
            <v>1.968908765909039E-3</v>
          </cell>
          <cell r="G36">
            <v>2.2770227575112331E-3</v>
          </cell>
          <cell r="H36">
            <v>1.6241005733803788E-3</v>
          </cell>
          <cell r="I36">
            <v>5.9206306202999614E-4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1.27458875338498E-4</v>
          </cell>
          <cell r="F37">
            <v>1.6652867719522401E-4</v>
          </cell>
          <cell r="G37">
            <v>1.01413884828686E-4</v>
          </cell>
          <cell r="H37">
            <v>7.1249224897227504E-5</v>
          </cell>
          <cell r="I37">
            <v>2.0636018690299298E-5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1.27281996095281E-4</v>
          </cell>
          <cell r="F38">
            <v>2.8430695780677683E-4</v>
          </cell>
          <cell r="G38">
            <v>3.3701508370013333E-4</v>
          </cell>
          <cell r="H38">
            <v>2.3887195732792262E-4</v>
          </cell>
          <cell r="I38">
            <v>8.7783045677970476E-5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8.6466696110547414E-2</v>
          </cell>
          <cell r="E39">
            <v>0.16377874051592356</v>
          </cell>
          <cell r="F39">
            <v>0.16077836253588104</v>
          </cell>
          <cell r="G39">
            <v>0.13267742427294091</v>
          </cell>
          <cell r="H39">
            <v>7.0158242231420399E-3</v>
          </cell>
          <cell r="I39">
            <v>1.854979001258965E-3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8.6466696110547414E-2</v>
          </cell>
          <cell r="E40">
            <v>0.16377874051592356</v>
          </cell>
          <cell r="F40">
            <v>0.16077836253588104</v>
          </cell>
          <cell r="G40">
            <v>0.13267742427294091</v>
          </cell>
          <cell r="H40">
            <v>7.0158242231420399E-3</v>
          </cell>
          <cell r="I40">
            <v>1.854979001258965E-3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4.6388466192045998E-4</v>
          </cell>
          <cell r="F41">
            <v>3.9554965490188303E-4</v>
          </cell>
          <cell r="G41">
            <v>3.0052960203831401E-4</v>
          </cell>
          <cell r="H41">
            <v>7.6109374908977994E-5</v>
          </cell>
          <cell r="I41">
            <v>1.83419884441493E-5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7.2616730028859057E-3</v>
          </cell>
          <cell r="E42">
            <v>1.291610827625931E-2</v>
          </cell>
          <cell r="F42">
            <v>1.2763886533357451E-2</v>
          </cell>
          <cell r="G42">
            <v>1.0515123143179501E-2</v>
          </cell>
          <cell r="H42">
            <v>7.555842166229919E-4</v>
          </cell>
          <cell r="I42">
            <v>2.0416977585236478E-4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6.0856471375541984E-6</v>
          </cell>
          <cell r="E43">
            <v>1.2008175645662087E-3</v>
          </cell>
          <cell r="F43">
            <v>3.4026085056063273E-3</v>
          </cell>
          <cell r="G43">
            <v>4.7340677726039337E-3</v>
          </cell>
          <cell r="H43">
            <v>4.7575022568581834E-3</v>
          </cell>
          <cell r="I43">
            <v>1.173730611775847E-3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6.0856471375541984E-6</v>
          </cell>
          <cell r="E44">
            <v>1.2008175645662087E-3</v>
          </cell>
          <cell r="F44">
            <v>3.4026085056063273E-3</v>
          </cell>
          <cell r="G44">
            <v>4.7340677726039337E-3</v>
          </cell>
          <cell r="H44">
            <v>4.7575022568581834E-3</v>
          </cell>
          <cell r="I44">
            <v>1.173730611775847E-3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9.3586486216267302E-5</v>
          </cell>
          <cell r="F45">
            <v>1.97306534075308E-4</v>
          </cell>
          <cell r="G45">
            <v>1.5946076122239899E-4</v>
          </cell>
          <cell r="H45">
            <v>3.1029571700691403E-5</v>
          </cell>
          <cell r="I45">
            <v>6.1860706537577803E-6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9.2590868782913956E-5</v>
          </cell>
          <cell r="F46">
            <v>2.8195842598761266E-4</v>
          </cell>
          <cell r="G46">
            <v>3.9239359711339394E-4</v>
          </cell>
          <cell r="H46">
            <v>4.8222536840380179E-4</v>
          </cell>
          <cell r="I46">
            <v>1.2120823352071117E-4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0.24502563722589676</v>
          </cell>
          <cell r="I47">
            <v>0.26340107396293244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9.7093219886090889</v>
          </cell>
          <cell r="I48">
            <v>10.452588275482805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4.4021050508815098E-5</v>
          </cell>
          <cell r="E49">
            <v>5.4053371055221297E-5</v>
          </cell>
          <cell r="F49">
            <v>8.1081069157070998E-5</v>
          </cell>
          <cell r="G49">
            <v>1.3513442306098999E-4</v>
          </cell>
          <cell r="H49">
            <v>1.33442282985699E-4</v>
          </cell>
          <cell r="I49">
            <v>1.2803437775698199E-3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2.0938235483739949E-3</v>
          </cell>
          <cell r="E50">
            <v>2.1478769194292163E-3</v>
          </cell>
          <cell r="F50">
            <v>2.2289579885862868E-3</v>
          </cell>
          <cell r="G50">
            <v>2.364092411647277E-3</v>
          </cell>
          <cell r="H50">
            <v>2.6309780984562861E-3</v>
          </cell>
          <cell r="I50">
            <v>2.8282860670633099E-3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6.9929930289693913E-5</v>
          </cell>
          <cell r="E51">
            <v>1.0657209223284289E-2</v>
          </cell>
          <cell r="F51">
            <v>0.97267566135532435</v>
          </cell>
          <cell r="G51">
            <v>2.9331821929522541</v>
          </cell>
          <cell r="H51">
            <v>4.1331863453874362</v>
          </cell>
          <cell r="I51">
            <v>0.67295929619472761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6.9929930289693913E-5</v>
          </cell>
          <cell r="E52">
            <v>1.0657209223284289E-2</v>
          </cell>
          <cell r="F52">
            <v>0.97267566135532435</v>
          </cell>
          <cell r="G52">
            <v>2.9331821929522541</v>
          </cell>
          <cell r="H52">
            <v>4.1331863453874362</v>
          </cell>
          <cell r="I52">
            <v>0.67295929619472761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7.4102595201235705E-4</v>
          </cell>
          <cell r="F53">
            <v>6.7094189657944905E-2</v>
          </cell>
          <cell r="G53">
            <v>0.150748438449783</v>
          </cell>
          <cell r="H53">
            <v>7.6835610561820698E-5</v>
          </cell>
          <cell r="I53">
            <v>1.5272634888742299E-5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7.3518595668175494E-4</v>
          </cell>
          <cell r="F54">
            <v>6.6894157553050365E-2</v>
          </cell>
          <cell r="G54">
            <v>0.20168692136774044</v>
          </cell>
          <cell r="H54">
            <v>0.28878827210731445</v>
          </cell>
          <cell r="I54">
            <v>6.6095067642137559E-2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3.0202682417318156E-3</v>
          </cell>
          <cell r="E55">
            <v>1.2792995446145847E-2</v>
          </cell>
          <cell r="F55">
            <v>1.7282947138739395E-2</v>
          </cell>
          <cell r="G55">
            <v>1.8865418671955288E-2</v>
          </cell>
          <cell r="H55">
            <v>6.7621637715856294E-3</v>
          </cell>
          <cell r="I55">
            <v>1.6673950841287536E-3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3.0202682417318156E-3</v>
          </cell>
          <cell r="E56">
            <v>1.2792995446145847E-2</v>
          </cell>
          <cell r="F56">
            <v>1.7282947138739395E-2</v>
          </cell>
          <cell r="G56">
            <v>1.8865418671955288E-2</v>
          </cell>
          <cell r="H56">
            <v>6.7621637715856294E-3</v>
          </cell>
          <cell r="I56">
            <v>1.6673950841287536E-3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3.4285773920806001E-4</v>
          </cell>
          <cell r="F57">
            <v>4.4724662932457102E-4</v>
          </cell>
          <cell r="G57">
            <v>3.9598630673653599E-4</v>
          </cell>
          <cell r="H57">
            <v>6.3547214176828704E-5</v>
          </cell>
          <cell r="I57">
            <v>1.4274553983814299E-5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2.5895095420301872E-4</v>
          </cell>
          <cell r="E58">
            <v>1.018274031752632E-3</v>
          </cell>
          <cell r="F58">
            <v>1.4128252238920071E-3</v>
          </cell>
          <cell r="G58">
            <v>1.5234033845888545E-3</v>
          </cell>
          <cell r="H58">
            <v>7.2579386524578189E-4</v>
          </cell>
          <cell r="I58">
            <v>1.835463601610828E-4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6.1592830992811527E-7</v>
          </cell>
          <cell r="I59">
            <v>3.4472161566774065E-7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2.3281323279145879E-6</v>
          </cell>
          <cell r="I60">
            <v>1.1540181671503223E-6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7.2902474560729298E-8</v>
          </cell>
          <cell r="H61">
            <v>2.7785645305400999E-8</v>
          </cell>
          <cell r="I61">
            <v>2.32483799199723E-8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7.2902474560729298E-8</v>
          </cell>
          <cell r="H62">
            <v>5.9631489958491591E-8</v>
          </cell>
          <cell r="I62">
            <v>5.0169306980968903E-8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2.1713176572921695E-4</v>
          </cell>
          <cell r="E63">
            <v>1.0374933150457716E-3</v>
          </cell>
          <cell r="F63">
            <v>1.8847310587215222E-3</v>
          </cell>
          <cell r="G63">
            <v>1.9063763354604129E-3</v>
          </cell>
          <cell r="H63">
            <v>1.0687825883477337E-3</v>
          </cell>
          <cell r="I63">
            <v>3.0862223192299588E-4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2.2452796740121201E-2</v>
          </cell>
          <cell r="E64">
            <v>0.10728336521247539</v>
          </cell>
          <cell r="F64">
            <v>0.19489310202562235</v>
          </cell>
          <cell r="G64">
            <v>0.19713136042770291</v>
          </cell>
          <cell r="H64">
            <v>0.10118593078969354</v>
          </cell>
          <cell r="I64">
            <v>2.627327423983767E-2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3.0423843821302497E-4</v>
          </cell>
          <cell r="E65">
            <v>1.4537041356703982E-3</v>
          </cell>
          <cell r="F65">
            <v>2.6408279407265892E-3</v>
          </cell>
          <cell r="G65">
            <v>2.6711566453618261E-3</v>
          </cell>
          <cell r="H65">
            <v>1.3710830730310787E-3</v>
          </cell>
          <cell r="I65">
            <v>3.5600642601406096E-4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H66">
            <v>1.32290089742426E-8</v>
          </cell>
          <cell r="I66">
            <v>1.26376958800636E-8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H67">
            <v>2.4393918576200601E-8</v>
          </cell>
          <cell r="I67">
            <v>2.12314286225164E-8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5.4156771548648903</v>
          </cell>
          <cell r="E68">
            <v>12.345971306657141</v>
          </cell>
          <cell r="F68">
            <v>8.9156145207064004</v>
          </cell>
          <cell r="G68">
            <v>6.9324980091220993</v>
          </cell>
          <cell r="H68">
            <v>0.31319789943486326</v>
          </cell>
          <cell r="I68">
            <v>5.4424735540342613E-2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4.3003715687285449E-2</v>
          </cell>
          <cell r="E69">
            <v>9.8034396211735333E-2</v>
          </cell>
          <cell r="F69">
            <v>7.0795311659499566E-2</v>
          </cell>
          <cell r="G69">
            <v>5.5048180469760087E-2</v>
          </cell>
          <cell r="H69">
            <v>2.7552689638825627E-3</v>
          </cell>
          <cell r="I69">
            <v>5.3366849062180951E-4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7.3383159280012045E-2</v>
          </cell>
          <cell r="E70">
            <v>0.16728958410104511</v>
          </cell>
          <cell r="F70">
            <v>0.12080778483342</v>
          </cell>
          <cell r="G70">
            <v>9.393628738647844E-2</v>
          </cell>
          <cell r="H70">
            <v>4.2438739760821565E-3</v>
          </cell>
          <cell r="I70">
            <v>7.3746254119705422E-4</v>
          </cell>
        </row>
        <row r="71">
          <cell r="A71" t="str">
            <v>T_B_u-FCLH2O-S3</v>
          </cell>
          <cell r="B71" t="str">
            <v>VAR_fout</v>
          </cell>
          <cell r="C71" t="str">
            <v>TPBSu</v>
          </cell>
          <cell r="H71">
            <v>5.3031864339673679E-7</v>
          </cell>
          <cell r="I71">
            <v>5.2377382380775845E-7</v>
          </cell>
        </row>
        <row r="72">
          <cell r="A72" t="str">
            <v>T_B_u-FCLH2O-S3</v>
          </cell>
          <cell r="B72" t="str">
            <v>VAR_fin</v>
          </cell>
          <cell r="C72" t="str">
            <v>TH2O</v>
          </cell>
          <cell r="H72">
            <v>4.0841142032479591E-6</v>
          </cell>
          <cell r="I72">
            <v>3.581888862644814E-6</v>
          </cell>
        </row>
        <row r="73">
          <cell r="A73" t="str">
            <v>T_B_u-FCLH2O-S3</v>
          </cell>
          <cell r="B73" t="str">
            <v>VAR_cap</v>
          </cell>
          <cell r="C73" t="str">
            <v>-</v>
          </cell>
          <cell r="I73">
            <v>-4.9310894779621003E-9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T-ELC-car-PlgSTGAUXout_S1</v>
          </cell>
          <cell r="E74">
            <v>1.1879869873469421E-4</v>
          </cell>
          <cell r="F74">
            <v>2.8951841349384599E-4</v>
          </cell>
          <cell r="G74">
            <v>1.3772642238388125E-3</v>
          </cell>
          <cell r="H74">
            <v>2.9157629342752619E-3</v>
          </cell>
          <cell r="I74">
            <v>2.050170482237928E-3</v>
          </cell>
        </row>
        <row r="75">
          <cell r="A75" t="str">
            <v>T-PHEV-STG_S1</v>
          </cell>
          <cell r="B75" t="str">
            <v>VAR_fout</v>
          </cell>
          <cell r="C75" t="str">
            <v>T-ELC-car-PlgSTGOut_S1</v>
          </cell>
          <cell r="E75">
            <v>1.1879869873469418E-4</v>
          </cell>
          <cell r="F75">
            <v>2.8951841349384594E-4</v>
          </cell>
          <cell r="G75">
            <v>1.3772642238388125E-3</v>
          </cell>
          <cell r="H75">
            <v>2.9157629342752614E-3</v>
          </cell>
          <cell r="I75">
            <v>2.0501704822379271E-3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T-ELC-car-PlgSTGAUXin_S1</v>
          </cell>
          <cell r="E76">
            <v>1.2309649245712171E-4</v>
          </cell>
          <cell r="F76">
            <v>2.9711088390553514E-4</v>
          </cell>
          <cell r="G76">
            <v>1.3855596840041185E-3</v>
          </cell>
          <cell r="H76">
            <v>2.9182097892024362E-3</v>
          </cell>
          <cell r="I76">
            <v>2.0561765651012417E-3</v>
          </cell>
        </row>
        <row r="77">
          <cell r="A77" t="str">
            <v>T-PHEV-STG_S1</v>
          </cell>
          <cell r="B77" t="str">
            <v>VAR_fin</v>
          </cell>
          <cell r="C77" t="str">
            <v>T-ELC-car-PlgSTGin_S1</v>
          </cell>
          <cell r="E77">
            <v>1.2309649245712171E-4</v>
          </cell>
          <cell r="F77">
            <v>2.9711088390553514E-4</v>
          </cell>
          <cell r="G77">
            <v>1.3855596840041185E-3</v>
          </cell>
          <cell r="H77">
            <v>2.9182097892024362E-3</v>
          </cell>
          <cell r="I77">
            <v>2.0561765651012417E-3</v>
          </cell>
        </row>
        <row r="78">
          <cell r="A78" t="str">
            <v>T-PHEV-STG_S1</v>
          </cell>
          <cell r="B78" t="str">
            <v>VAR_ncap</v>
          </cell>
          <cell r="C78" t="str">
            <v>-</v>
          </cell>
          <cell r="E78">
            <v>9.7897524954667497E-3</v>
          </cell>
          <cell r="F78">
            <v>1.14321252379269E-2</v>
          </cell>
          <cell r="G78">
            <v>8.7707768209030895E-3</v>
          </cell>
          <cell r="H78">
            <v>6.22705255527188E-3</v>
          </cell>
          <cell r="I78">
            <v>1.7435049536827199E-3</v>
          </cell>
        </row>
        <row r="79">
          <cell r="A79" t="str">
            <v>T-PHEV-STG_S1</v>
          </cell>
          <cell r="B79" t="str">
            <v>VAR_cap</v>
          </cell>
          <cell r="C79" t="str">
            <v>-</v>
          </cell>
          <cell r="E79">
            <v>9.7897524954667497E-3</v>
          </cell>
          <cell r="F79">
            <v>2.121724649565699E-2</v>
          </cell>
          <cell r="G79">
            <v>2.9977123243870449E-2</v>
          </cell>
          <cell r="H79">
            <v>2.6313056368467078E-2</v>
          </cell>
          <cell r="I79">
            <v>1.1365456712769317E-2</v>
          </cell>
        </row>
        <row r="80">
          <cell r="A80" t="str">
            <v>T-Plg-GSL-mix_S3</v>
          </cell>
          <cell r="B80" t="str">
            <v>VAR_fout</v>
          </cell>
          <cell r="C80" t="str">
            <v>CO2_T</v>
          </cell>
          <cell r="D80">
            <v>5.7871108336525596</v>
          </cell>
          <cell r="E80">
            <v>89.943471177524501</v>
          </cell>
          <cell r="F80">
            <v>129.7926723726907</v>
          </cell>
          <cell r="G80">
            <v>96.350624316494105</v>
          </cell>
          <cell r="H80">
            <v>231.10205625000731</v>
          </cell>
          <cell r="I80">
            <v>35.2102249312928</v>
          </cell>
        </row>
        <row r="81">
          <cell r="A81" t="str">
            <v>T-Plg-GSL-mix_S3</v>
          </cell>
          <cell r="B81" t="str">
            <v>VAR_fout</v>
          </cell>
          <cell r="C81" t="str">
            <v>T-PEVmix-ELC_GSL_S3</v>
          </cell>
          <cell r="D81">
            <v>4.2778867352660795E-2</v>
          </cell>
          <cell r="E81">
            <v>0.66487059490317624</v>
          </cell>
          <cell r="F81">
            <v>0.95943963652659059</v>
          </cell>
          <cell r="G81">
            <v>0.71223287326949103</v>
          </cell>
          <cell r="H81">
            <v>1.9122011418503904</v>
          </cell>
          <cell r="I81">
            <v>0.3266362468421537</v>
          </cell>
        </row>
        <row r="82">
          <cell r="A82" t="str">
            <v>T-Plg-GSL-mix_S3</v>
          </cell>
          <cell r="B82" t="str">
            <v>VAR_fin</v>
          </cell>
          <cell r="C82" t="str">
            <v>TGSL</v>
          </cell>
          <cell r="D82">
            <v>7.841613595735164E-2</v>
          </cell>
          <cell r="E82">
            <v>1.218746221917677</v>
          </cell>
          <cell r="F82">
            <v>1.7587082977329371</v>
          </cell>
          <cell r="G82">
            <v>1.3055640151286472</v>
          </cell>
          <cell r="H82">
            <v>3.1314641768293656</v>
          </cell>
          <cell r="I82">
            <v>0.4771033188522063</v>
          </cell>
        </row>
        <row r="83">
          <cell r="A83" t="str">
            <v>T_B_u-FCLH2O-S4</v>
          </cell>
          <cell r="B83" t="str">
            <v>VAR_fout</v>
          </cell>
          <cell r="C83" t="str">
            <v>TPBSu</v>
          </cell>
          <cell r="H83">
            <v>1.7187255006674821E-7</v>
          </cell>
        </row>
        <row r="84">
          <cell r="A84" t="str">
            <v>T_B_u-FCLH2O-S4</v>
          </cell>
          <cell r="B84" t="str">
            <v>VAR_fin</v>
          </cell>
          <cell r="C84" t="str">
            <v>TH2O</v>
          </cell>
          <cell r="H84">
            <v>1.9715763702104089E-6</v>
          </cell>
        </row>
        <row r="85">
          <cell r="A85" t="str">
            <v>T_B_u-FCLH2O-S4</v>
          </cell>
          <cell r="B85" t="str">
            <v>VAR_cap</v>
          </cell>
          <cell r="C85" t="str">
            <v>-</v>
          </cell>
          <cell r="H85">
            <v>-1.2713768695989701E-8</v>
          </cell>
          <cell r="I85">
            <v>-1.0194150203023501E-8</v>
          </cell>
        </row>
        <row r="86">
          <cell r="A86" t="str">
            <v>T-PHEV-STG_S2</v>
          </cell>
          <cell r="B86" t="str">
            <v>VAR_fout</v>
          </cell>
          <cell r="C86" t="str">
            <v>T-ELC-car-PlgSTGAUXout_S2</v>
          </cell>
          <cell r="D86">
            <v>3.4612006113725578E-3</v>
          </cell>
          <cell r="E86">
            <v>9.3390636189576029E-4</v>
          </cell>
          <cell r="F86">
            <v>3.7698344286210368E-3</v>
          </cell>
          <cell r="G86">
            <v>1.2535215287677285E-2</v>
          </cell>
          <cell r="H86">
            <v>5.5374335274050142E-3</v>
          </cell>
          <cell r="I86">
            <v>4.1189756462983815E-3</v>
          </cell>
        </row>
        <row r="87">
          <cell r="A87" t="str">
            <v>T-PHEV-STG_S2</v>
          </cell>
          <cell r="B87" t="str">
            <v>VAR_fout</v>
          </cell>
          <cell r="C87" t="str">
            <v>T-ELC-car-PlgSTGOut_S2</v>
          </cell>
          <cell r="D87">
            <v>3.461200611372557E-3</v>
          </cell>
          <cell r="E87">
            <v>9.3390636189576018E-4</v>
          </cell>
          <cell r="F87">
            <v>3.7698344286210368E-3</v>
          </cell>
          <cell r="G87">
            <v>1.2535215287677284E-2</v>
          </cell>
          <cell r="H87">
            <v>5.5374335274050134E-3</v>
          </cell>
          <cell r="I87">
            <v>4.1189756462983807E-3</v>
          </cell>
        </row>
        <row r="88">
          <cell r="A88" t="str">
            <v>T-PHEV-STG_S2</v>
          </cell>
          <cell r="B88" t="str">
            <v>VAR_fin</v>
          </cell>
          <cell r="C88" t="str">
            <v>T-ELC-car-PlgSTGAUXin_S2</v>
          </cell>
          <cell r="D88">
            <v>3.4654754212563757E-3</v>
          </cell>
          <cell r="E88">
            <v>9.3882389503860506E-4</v>
          </cell>
          <cell r="F88">
            <v>3.7835457969741535E-3</v>
          </cell>
          <cell r="G88">
            <v>1.2544687082094962E-2</v>
          </cell>
          <cell r="H88">
            <v>5.5401325043528769E-3</v>
          </cell>
          <cell r="I88">
            <v>4.1223686777870777E-3</v>
          </cell>
        </row>
        <row r="89">
          <cell r="A89" t="str">
            <v>T-PHEV-STG_S2</v>
          </cell>
          <cell r="B89" t="str">
            <v>VAR_fin</v>
          </cell>
          <cell r="C89" t="str">
            <v>T-ELC-car-PlgSTGin_S2</v>
          </cell>
          <cell r="D89">
            <v>3.4654754212563757E-3</v>
          </cell>
          <cell r="E89">
            <v>9.3882389503860506E-4</v>
          </cell>
          <cell r="F89">
            <v>3.7835457969741535E-3</v>
          </cell>
          <cell r="G89">
            <v>1.2544687082094962E-2</v>
          </cell>
          <cell r="H89">
            <v>5.5401325043528769E-3</v>
          </cell>
          <cell r="I89">
            <v>4.1223686777870777E-3</v>
          </cell>
        </row>
        <row r="90">
          <cell r="A90" t="str">
            <v>T-PHEV-STG_S2</v>
          </cell>
          <cell r="B90" t="str">
            <v>VAR_ncap</v>
          </cell>
          <cell r="C90" t="str">
            <v>-</v>
          </cell>
          <cell r="D90">
            <v>3.5511572535675599E-2</v>
          </cell>
          <cell r="E90">
            <v>3.1375143251927799E-2</v>
          </cell>
          <cell r="F90">
            <v>5.1040147659474698E-2</v>
          </cell>
          <cell r="G90">
            <v>4.7291129801095198E-2</v>
          </cell>
          <cell r="H90">
            <v>2.5389898875365899E-2</v>
          </cell>
          <cell r="I90">
            <v>1.65833084521671E-2</v>
          </cell>
        </row>
        <row r="91">
          <cell r="A91" t="str">
            <v>T-PHEV-STG_S2</v>
          </cell>
          <cell r="B91" t="str">
            <v>VAR_cap</v>
          </cell>
          <cell r="C91" t="str">
            <v>-</v>
          </cell>
          <cell r="D91">
            <v>3.5511572535675599E-2</v>
          </cell>
          <cell r="E91">
            <v>6.6872877410882769E-2</v>
          </cell>
          <cell r="F91">
            <v>0.11788166841874485</v>
          </cell>
          <cell r="G91">
            <v>0.16512003854620244</v>
          </cell>
          <cell r="H91">
            <v>0.10457140064446403</v>
          </cell>
          <cell r="I91">
            <v>5.1009966705500828E-2</v>
          </cell>
        </row>
        <row r="92">
          <cell r="A92" t="str">
            <v>T-Plg-GSL-mix_S4</v>
          </cell>
          <cell r="B92" t="str">
            <v>VAR_fout</v>
          </cell>
          <cell r="C92" t="str">
            <v>CO2_T</v>
          </cell>
          <cell r="D92">
            <v>12.2773879350478</v>
          </cell>
          <cell r="E92">
            <v>23.198157752727703</v>
          </cell>
          <cell r="F92">
            <v>22.054109734971039</v>
          </cell>
          <cell r="G92">
            <v>13.642025560054897</v>
          </cell>
          <cell r="H92">
            <v>0.49510130039097688</v>
          </cell>
          <cell r="I92">
            <v>8.0385372909985917E-2</v>
          </cell>
        </row>
        <row r="93">
          <cell r="A93" t="str">
            <v>T-Plg-GSL-mix_S4</v>
          </cell>
          <cell r="B93" t="str">
            <v>VAR_fout</v>
          </cell>
          <cell r="C93" t="str">
            <v>T-PEVmix-ELC_GSL_S4</v>
          </cell>
          <cell r="D93">
            <v>8.6466696110547289E-2</v>
          </cell>
          <cell r="E93">
            <v>0.1633790564688076</v>
          </cell>
          <cell r="F93">
            <v>0.15532180090186049</v>
          </cell>
          <cell r="G93">
            <v>9.6077511330099424E-2</v>
          </cell>
          <cell r="H93">
            <v>3.8538357106367447E-3</v>
          </cell>
          <cell r="I93">
            <v>6.9399066720166134E-4</v>
          </cell>
        </row>
        <row r="94">
          <cell r="A94" t="str">
            <v>T-Plg-GSL-mix_S4</v>
          </cell>
          <cell r="B94" t="str">
            <v>VAR_fin</v>
          </cell>
          <cell r="C94" t="str">
            <v>TGSL</v>
          </cell>
          <cell r="D94">
            <v>0.1663602701225996</v>
          </cell>
          <cell r="E94">
            <v>0.31433818093126908</v>
          </cell>
          <cell r="F94">
            <v>0.2988361752706104</v>
          </cell>
          <cell r="G94">
            <v>0.18485129485169241</v>
          </cell>
          <cell r="H94">
            <v>6.7086897071948204E-3</v>
          </cell>
          <cell r="I94">
            <v>1.0892326952572629E-3</v>
          </cell>
        </row>
        <row r="95">
          <cell r="A95" t="str">
            <v>T-PHEV-STG_S3</v>
          </cell>
          <cell r="B95" t="str">
            <v>VAR_fout</v>
          </cell>
          <cell r="C95" t="str">
            <v>T-ELC-car-PlgSTGAUXout_S3</v>
          </cell>
          <cell r="E95">
            <v>7.2801046392459423E-4</v>
          </cell>
          <cell r="F95">
            <v>0.29573737492229762</v>
          </cell>
          <cell r="G95">
            <v>0.84973876757957534</v>
          </cell>
          <cell r="H95">
            <v>2.5540604233325932</v>
          </cell>
          <cell r="I95">
            <v>1.1900242249334734</v>
          </cell>
        </row>
        <row r="96">
          <cell r="A96" t="str">
            <v>T-PHEV-STG_S3</v>
          </cell>
          <cell r="B96" t="str">
            <v>VAR_fout</v>
          </cell>
          <cell r="C96" t="str">
            <v>T-ELC-car-PlgSTGOut_S3</v>
          </cell>
          <cell r="E96">
            <v>7.2801046392459402E-4</v>
          </cell>
          <cell r="F96">
            <v>0.29573737492229762</v>
          </cell>
          <cell r="G96">
            <v>0.84973876757957512</v>
          </cell>
          <cell r="H96">
            <v>2.5540604233325932</v>
          </cell>
          <cell r="I96">
            <v>1.1900242249334732</v>
          </cell>
        </row>
        <row r="97">
          <cell r="A97" t="str">
            <v>T-PHEV-STG_S3</v>
          </cell>
          <cell r="B97" t="str">
            <v>VAR_fin</v>
          </cell>
          <cell r="C97" t="str">
            <v>T-ELC-car-PlgSTGAUXin_S3</v>
          </cell>
          <cell r="E97">
            <v>7.3169464978225976E-4</v>
          </cell>
          <cell r="F97">
            <v>0.29577462591698966</v>
          </cell>
          <cell r="G97">
            <v>0.84983225009743235</v>
          </cell>
          <cell r="H97">
            <v>2.5543170634274053</v>
          </cell>
          <cell r="I97">
            <v>1.1901467037745066</v>
          </cell>
        </row>
        <row r="98">
          <cell r="A98" t="str">
            <v>T-PHEV-STG_S3</v>
          </cell>
          <cell r="B98" t="str">
            <v>VAR_fin</v>
          </cell>
          <cell r="C98" t="str">
            <v>T-ELC-car-PlgSTGin_S3</v>
          </cell>
          <cell r="E98">
            <v>7.3169464978225976E-4</v>
          </cell>
          <cell r="F98">
            <v>0.29577462591698966</v>
          </cell>
          <cell r="G98">
            <v>0.84983225009743235</v>
          </cell>
          <cell r="H98">
            <v>2.5543170634274053</v>
          </cell>
          <cell r="I98">
            <v>1.1901467037745066</v>
          </cell>
        </row>
        <row r="99">
          <cell r="A99" t="str">
            <v>T-PHEV-STG_S3</v>
          </cell>
          <cell r="B99" t="str">
            <v>VAR_ncap</v>
          </cell>
          <cell r="C99" t="str">
            <v>-</v>
          </cell>
          <cell r="E99">
            <v>3.22747030088287</v>
          </cell>
          <cell r="F99">
            <v>9.2981528390911201</v>
          </cell>
          <cell r="G99">
            <v>13.0139397018145</v>
          </cell>
          <cell r="H99">
            <v>1.3513365938886499E-2</v>
          </cell>
          <cell r="I99">
            <v>2.6485673779244501E-3</v>
          </cell>
        </row>
        <row r="100">
          <cell r="A100" t="str">
            <v>T-PHEV-STG_S3</v>
          </cell>
          <cell r="B100" t="str">
            <v>VAR_cap</v>
          </cell>
          <cell r="C100" t="str">
            <v>-</v>
          </cell>
          <cell r="E100">
            <v>3.22747030088287</v>
          </cell>
          <cell r="F100">
            <v>12.523781496690054</v>
          </cell>
          <cell r="G100">
            <v>25.52667275958871</v>
          </cell>
          <cell r="H100">
            <v>62.946612569417624</v>
          </cell>
          <cell r="I100">
            <v>21.342282958090831</v>
          </cell>
        </row>
        <row r="101">
          <cell r="A101" t="str">
            <v>TFLGV-HYBDSL</v>
          </cell>
          <cell r="B101" t="str">
            <v>VAR_fout</v>
          </cell>
          <cell r="C101" t="str">
            <v>CO2_T</v>
          </cell>
          <cell r="E101">
            <v>32.527017719730097</v>
          </cell>
          <cell r="F101">
            <v>141.10707226033051</v>
          </cell>
          <cell r="G101">
            <v>228.42503125222362</v>
          </cell>
          <cell r="H101">
            <v>77.792444714065766</v>
          </cell>
          <cell r="I101">
            <v>9.8647543502549395E-3</v>
          </cell>
        </row>
        <row r="102">
          <cell r="A102" t="str">
            <v>TFLGV-HYBDSL</v>
          </cell>
          <cell r="B102" t="str">
            <v>VAR_fout</v>
          </cell>
          <cell r="C102" t="str">
            <v>TFLGV</v>
          </cell>
          <cell r="E102">
            <v>0.2044665163804959</v>
          </cell>
          <cell r="F102">
            <v>0.8870063573095438</v>
          </cell>
          <cell r="G102">
            <v>1.4358915654882749</v>
          </cell>
          <cell r="H102">
            <v>0.4890073325646197</v>
          </cell>
          <cell r="I102">
            <v>6.2010356262157332E-5</v>
          </cell>
        </row>
        <row r="103">
          <cell r="A103" t="str">
            <v>TFLGV-HYBDSL</v>
          </cell>
          <cell r="B103" t="str">
            <v>VAR_fin</v>
          </cell>
          <cell r="C103" t="str">
            <v>TDSL</v>
          </cell>
          <cell r="E103">
            <v>0.44375194706316629</v>
          </cell>
          <cell r="F103">
            <v>1.9250623773578575</v>
          </cell>
          <cell r="G103">
            <v>3.116303291299094</v>
          </cell>
          <cell r="H103">
            <v>1.0612884681318651</v>
          </cell>
          <cell r="I103">
            <v>1.345805504809678E-4</v>
          </cell>
        </row>
        <row r="104">
          <cell r="A104" t="str">
            <v>TFLGV-HYBDSL</v>
          </cell>
          <cell r="B104" t="str">
            <v>VAR_ncap</v>
          </cell>
          <cell r="C104" t="str">
            <v>-</v>
          </cell>
          <cell r="E104">
            <v>1.4257590757179099E-2</v>
          </cell>
          <cell r="F104">
            <v>4.7618499116165898E-2</v>
          </cell>
          <cell r="G104">
            <v>6.6181502834543507E-2</v>
          </cell>
          <cell r="H104">
            <v>8.8436827058939704E-6</v>
          </cell>
          <cell r="I104">
            <v>8.0395067356372801E-7</v>
          </cell>
        </row>
        <row r="105">
          <cell r="A105" t="str">
            <v>TFLGV-HYBDSL</v>
          </cell>
          <cell r="B105" t="str">
            <v>VAR_cap</v>
          </cell>
          <cell r="C105" t="str">
            <v>-</v>
          </cell>
          <cell r="E105">
            <v>1.4257590757179099E-2</v>
          </cell>
          <cell r="F105">
            <v>6.1876059453823053E-2</v>
          </cell>
          <cell r="G105">
            <v>0.12616850781624805</v>
          </cell>
          <cell r="H105">
            <v>3.5455213648510453E-2</v>
          </cell>
          <cell r="I105">
            <v>5.45853648512961E-6</v>
          </cell>
        </row>
        <row r="106">
          <cell r="A106" t="str">
            <v>TFHGV-FCLH2O</v>
          </cell>
          <cell r="B106" t="str">
            <v>VAR_fout</v>
          </cell>
          <cell r="C106" t="str">
            <v>TFHGV</v>
          </cell>
          <cell r="D106">
            <v>5.0707383549447702E-4</v>
          </cell>
          <cell r="E106">
            <v>3.3722826363631993E-4</v>
          </cell>
          <cell r="F106">
            <v>3.2888580267588665E-4</v>
          </cell>
          <cell r="H106">
            <v>4.5318474592173858E-5</v>
          </cell>
          <cell r="I106">
            <v>9.7436268627059921E-5</v>
          </cell>
        </row>
        <row r="107">
          <cell r="A107" t="str">
            <v>TFHGV-FCLH2O</v>
          </cell>
          <cell r="B107" t="str">
            <v>VAR_fin</v>
          </cell>
          <cell r="C107" t="str">
            <v>TH2O</v>
          </cell>
          <cell r="D107">
            <v>2.9065546439474301E-3</v>
          </cell>
          <cell r="E107">
            <v>1.9262797730994566E-3</v>
          </cell>
          <cell r="F107">
            <v>1.876853564221047E-3</v>
          </cell>
          <cell r="H107">
            <v>2.2574302243160842E-4</v>
          </cell>
          <cell r="I107">
            <v>4.4724690922916005E-4</v>
          </cell>
        </row>
        <row r="108">
          <cell r="A108" t="str">
            <v>TFHGV-FCLH2O</v>
          </cell>
          <cell r="B108" t="str">
            <v>VAR_ncap</v>
          </cell>
          <cell r="C108" t="str">
            <v>-</v>
          </cell>
          <cell r="E108">
            <v>3.4038356112138901E-7</v>
          </cell>
          <cell r="F108">
            <v>2.0600867055573E-7</v>
          </cell>
          <cell r="H108">
            <v>7.2113632313470102E-7</v>
          </cell>
          <cell r="I108">
            <v>1.8915217946572801E-6</v>
          </cell>
        </row>
        <row r="109">
          <cell r="A109" t="str">
            <v>TFHGV-FCLH2O</v>
          </cell>
          <cell r="B109" t="str">
            <v>VAR_cap</v>
          </cell>
          <cell r="C109" t="str">
            <v>-</v>
          </cell>
          <cell r="D109">
            <v>1.147757860920985E-5</v>
          </cell>
          <cell r="E109">
            <v>6.7495127350867892E-6</v>
          </cell>
          <cell r="F109">
            <v>6.9456998708221192E-6</v>
          </cell>
          <cell r="G109">
            <v>-2.5579084271722406E-8</v>
          </cell>
          <cell r="H109">
            <v>1.0088641998127E-6</v>
          </cell>
          <cell r="I109">
            <v>2.0180730246074998E-6</v>
          </cell>
        </row>
        <row r="110">
          <cell r="A110" t="str">
            <v>T-PHEV-STG_S4</v>
          </cell>
          <cell r="B110" t="str">
            <v>VAR_fout</v>
          </cell>
          <cell r="C110" t="str">
            <v>T-ELC-car-PlgSTGAUXout_S4</v>
          </cell>
          <cell r="E110">
            <v>7.1118097164961532E-4</v>
          </cell>
          <cell r="F110">
            <v>5.2374202363569934E-3</v>
          </cell>
          <cell r="G110">
            <v>3.1484794493776613E-2</v>
          </cell>
          <cell r="H110">
            <v>9.5472612325378375E-3</v>
          </cell>
          <cell r="I110">
            <v>4.0261541913697322E-3</v>
          </cell>
        </row>
        <row r="111">
          <cell r="A111" t="str">
            <v>T-PHEV-STG_S4</v>
          </cell>
          <cell r="B111" t="str">
            <v>VAR_fout</v>
          </cell>
          <cell r="C111" t="str">
            <v>T-ELC-car-PlgSTGOut_S4</v>
          </cell>
          <cell r="E111">
            <v>7.1118097164961532E-4</v>
          </cell>
          <cell r="F111">
            <v>5.2374202363569934E-3</v>
          </cell>
          <cell r="G111">
            <v>3.1484794493776613E-2</v>
          </cell>
          <cell r="H111">
            <v>9.5472612325378358E-3</v>
          </cell>
          <cell r="I111">
            <v>4.0261541913697314E-3</v>
          </cell>
        </row>
        <row r="112">
          <cell r="A112" t="str">
            <v>T-PHEV-STG_S4</v>
          </cell>
          <cell r="B112" t="str">
            <v>VAR_fin</v>
          </cell>
          <cell r="C112" t="str">
            <v>T-ELC-car-PlgSTGAUXin_S4</v>
          </cell>
          <cell r="E112">
            <v>7.1681086272022351E-4</v>
          </cell>
          <cell r="F112">
            <v>5.2456384728048156E-3</v>
          </cell>
          <cell r="G112">
            <v>3.1493744333416659E-2</v>
          </cell>
          <cell r="H112">
            <v>9.5552203665339557E-3</v>
          </cell>
          <cell r="I112">
            <v>4.0302630704502863E-3</v>
          </cell>
        </row>
        <row r="113">
          <cell r="A113" t="str">
            <v>T-PHEV-STG_S4</v>
          </cell>
          <cell r="B113" t="str">
            <v>VAR_fin</v>
          </cell>
          <cell r="C113" t="str">
            <v>T-ELC-car-PlgSTGin_S4</v>
          </cell>
          <cell r="E113">
            <v>7.1681086272022351E-4</v>
          </cell>
          <cell r="F113">
            <v>5.2456384728048156E-3</v>
          </cell>
          <cell r="G113">
            <v>3.1493744333416659E-2</v>
          </cell>
          <cell r="H113">
            <v>9.5552203665339557E-3</v>
          </cell>
          <cell r="I113">
            <v>4.0302630704502863E-3</v>
          </cell>
        </row>
        <row r="114">
          <cell r="A114" t="str">
            <v>T-PHEV-STG_S4</v>
          </cell>
          <cell r="B114" t="str">
            <v>VAR_ncap</v>
          </cell>
          <cell r="C114" t="str">
            <v>-</v>
          </cell>
          <cell r="E114">
            <v>6.8342883480889599E-2</v>
          </cell>
          <cell r="F114">
            <v>7.31974332151136E-2</v>
          </cell>
          <cell r="G114">
            <v>5.9933564204199603E-2</v>
          </cell>
          <cell r="H114">
            <v>1.13653076723336E-2</v>
          </cell>
          <cell r="I114">
            <v>2.5096915307792102E-3</v>
          </cell>
        </row>
        <row r="115">
          <cell r="A115" t="str">
            <v>T-PHEV-STG_S4</v>
          </cell>
          <cell r="B115" t="str">
            <v>VAR_cap</v>
          </cell>
          <cell r="C115" t="str">
            <v>-</v>
          </cell>
          <cell r="E115">
            <v>6.8342883480889599E-2</v>
          </cell>
          <cell r="F115">
            <v>0.14152838034868254</v>
          </cell>
          <cell r="G115">
            <v>0.2014286432624765</v>
          </cell>
          <cell r="H115">
            <v>0.16521349579794437</v>
          </cell>
          <cell r="I115">
            <v>5.3023110085041049E-2</v>
          </cell>
        </row>
        <row r="116">
          <cell r="A116" t="str">
            <v>TFLGV-ICEGSLExt</v>
          </cell>
          <cell r="B116" t="str">
            <v>VAR_fout</v>
          </cell>
          <cell r="C116" t="str">
            <v>CO2_T</v>
          </cell>
          <cell r="D116">
            <v>61.416374909555302</v>
          </cell>
          <cell r="E116">
            <v>137.028665063836</v>
          </cell>
          <cell r="F116">
            <v>40.200122215496002</v>
          </cell>
          <cell r="G116">
            <v>20.021212581655998</v>
          </cell>
        </row>
        <row r="117">
          <cell r="A117" t="str">
            <v>TFLGV-ICEGSLExt</v>
          </cell>
          <cell r="B117" t="str">
            <v>VAR_fout</v>
          </cell>
          <cell r="C117" t="str">
            <v>TFLGV</v>
          </cell>
          <cell r="D117">
            <v>0.23100484183622577</v>
          </cell>
          <cell r="E117">
            <v>0.52020823511328662</v>
          </cell>
          <cell r="F117">
            <v>0.15472741994875561</v>
          </cell>
          <cell r="G117">
            <v>7.7060227588339802E-2</v>
          </cell>
        </row>
        <row r="118">
          <cell r="A118" t="str">
            <v>TFLGV-ICEGSLExt</v>
          </cell>
          <cell r="B118" t="str">
            <v>VAR_fin</v>
          </cell>
          <cell r="C118" t="str">
            <v>TGSL</v>
          </cell>
          <cell r="D118">
            <v>0.83220020202649503</v>
          </cell>
          <cell r="E118">
            <v>1.8567569791847707</v>
          </cell>
          <cell r="F118">
            <v>0.54471710319100219</v>
          </cell>
          <cell r="G118">
            <v>0.27129014338287222</v>
          </cell>
        </row>
        <row r="119">
          <cell r="A119" t="str">
            <v>TFLGV-ICEGSLExt</v>
          </cell>
          <cell r="B119" t="str">
            <v>VAR_cap</v>
          </cell>
          <cell r="C119" t="str">
            <v>-</v>
          </cell>
          <cell r="D119">
            <v>4.5952E-2</v>
          </cell>
          <cell r="E119">
            <v>3.98250666666667E-2</v>
          </cell>
          <cell r="F119">
            <v>3.063427528045164E-2</v>
          </cell>
          <cell r="G119">
            <v>1.5317333333333299E-2</v>
          </cell>
        </row>
        <row r="120">
          <cell r="A120" t="str">
            <v>TFRLFELCEXT</v>
          </cell>
          <cell r="B120" t="str">
            <v>VAR_fout</v>
          </cell>
          <cell r="C120" t="str">
            <v>TFRLF</v>
          </cell>
          <cell r="D120">
            <v>2.5094639766492999E-2</v>
          </cell>
          <cell r="E120">
            <v>2.6085760431311111E-2</v>
          </cell>
          <cell r="F120">
            <v>2.9164596157015062E-2</v>
          </cell>
          <cell r="G120">
            <v>3.1639232780995702E-2</v>
          </cell>
          <cell r="H120">
            <v>3.3881264921559032E-2</v>
          </cell>
          <cell r="I120">
            <v>3.6424023392840364E-2</v>
          </cell>
        </row>
        <row r="121">
          <cell r="A121" t="str">
            <v>TFRLFELCEXT</v>
          </cell>
          <cell r="B121" t="str">
            <v>VAR_fin</v>
          </cell>
          <cell r="C121" t="str">
            <v>TELC</v>
          </cell>
          <cell r="D121">
            <v>1.5023103066902754</v>
          </cell>
          <cell r="E121">
            <v>1.5616445232315328</v>
          </cell>
          <cell r="F121">
            <v>1.7459614405641017</v>
          </cell>
          <cell r="G121">
            <v>1.8941075044292328</v>
          </cell>
          <cell r="H121">
            <v>2.0283285183206732</v>
          </cell>
          <cell r="I121">
            <v>2.1805527500440776</v>
          </cell>
        </row>
        <row r="122">
          <cell r="A122" t="str">
            <v>TFRLFELCEXT</v>
          </cell>
          <cell r="B122" t="str">
            <v>VAR_ncap</v>
          </cell>
          <cell r="C122" t="str">
            <v>-</v>
          </cell>
          <cell r="D122">
            <v>3.11872976495341E-7</v>
          </cell>
          <cell r="E122">
            <v>9.1305420100879005E-5</v>
          </cell>
          <cell r="F122">
            <v>2.8422658139792801E-4</v>
          </cell>
          <cell r="G122">
            <v>2.2838897803305699E-4</v>
          </cell>
          <cell r="H122">
            <v>7.2713009609042206E-5</v>
          </cell>
          <cell r="I122">
            <v>1.4859706048895101E-3</v>
          </cell>
        </row>
        <row r="123">
          <cell r="A123" t="str">
            <v>TFRLFELCEXT</v>
          </cell>
          <cell r="B123" t="str">
            <v>VAR_cap</v>
          </cell>
          <cell r="C123" t="str">
            <v>-</v>
          </cell>
          <cell r="D123">
            <v>2.316976360659675E-3</v>
          </cell>
          <cell r="E123">
            <v>2.4082817807605543E-3</v>
          </cell>
          <cell r="F123">
            <v>2.6925083621584817E-3</v>
          </cell>
          <cell r="G123">
            <v>2.9208973401915386E-3</v>
          </cell>
          <cell r="H123">
            <v>3.1279069893629529E-3</v>
          </cell>
          <cell r="I123">
            <v>3.3626177669631102E-3</v>
          </cell>
        </row>
        <row r="124">
          <cell r="A124" t="str">
            <v>TFLGV-ICEDSLExt</v>
          </cell>
          <cell r="B124" t="str">
            <v>VAR_fout</v>
          </cell>
          <cell r="C124" t="str">
            <v>CO2_T</v>
          </cell>
          <cell r="D124">
            <v>806.28402632844495</v>
          </cell>
          <cell r="E124">
            <v>545.33214338840003</v>
          </cell>
          <cell r="F124">
            <v>399.757050965985</v>
          </cell>
          <cell r="G124">
            <v>199.79736556047001</v>
          </cell>
        </row>
        <row r="125">
          <cell r="A125" t="str">
            <v>TFLGV-ICEDSLExt</v>
          </cell>
          <cell r="B125" t="str">
            <v>VAR_fout</v>
          </cell>
          <cell r="C125" t="str">
            <v>TFLGV</v>
          </cell>
          <cell r="D125">
            <v>2.849346549109339</v>
          </cell>
          <cell r="E125">
            <v>1.9933821401056873</v>
          </cell>
          <cell r="F125">
            <v>1.5340674243107217</v>
          </cell>
          <cell r="G125">
            <v>0.76672226100521623</v>
          </cell>
        </row>
        <row r="126">
          <cell r="A126" t="str">
            <v>TFLGV-ICEDSLExt</v>
          </cell>
          <cell r="B126" t="str">
            <v>VAR_fin</v>
          </cell>
          <cell r="C126" t="str">
            <v>TDSL</v>
          </cell>
          <cell r="D126">
            <v>10.99978207815067</v>
          </cell>
          <cell r="E126">
            <v>7.4397291048894933</v>
          </cell>
          <cell r="F126">
            <v>5.4537114729329499</v>
          </cell>
          <cell r="G126">
            <v>2.7257485069641172</v>
          </cell>
        </row>
        <row r="127">
          <cell r="A127" t="str">
            <v>TFLGV-ICEDSLExt</v>
          </cell>
          <cell r="B127" t="str">
            <v>VAR_cap</v>
          </cell>
          <cell r="C127" t="str">
            <v>-</v>
          </cell>
          <cell r="D127">
            <v>0.228993</v>
          </cell>
          <cell r="E127">
            <v>0.19846059999999999</v>
          </cell>
          <cell r="F127">
            <v>0.15266043692540018</v>
          </cell>
          <cell r="G127">
            <v>7.6330999999999996E-2</v>
          </cell>
        </row>
        <row r="128">
          <cell r="A128" t="str">
            <v>T_C-ICE-NGA-S1</v>
          </cell>
          <cell r="B128" t="str">
            <v>VAR_fout</v>
          </cell>
          <cell r="C128" t="str">
            <v>CO2_T</v>
          </cell>
          <cell r="D128">
            <v>0.2007362515143753</v>
          </cell>
          <cell r="E128">
            <v>9.2750010802465338E-2</v>
          </cell>
          <cell r="F128">
            <v>0.10529897215343537</v>
          </cell>
          <cell r="G128">
            <v>2.6586418014074357E-2</v>
          </cell>
          <cell r="H128">
            <v>1.3188062118173362E-2</v>
          </cell>
          <cell r="I128">
            <v>2.6089891392887801E-3</v>
          </cell>
        </row>
        <row r="129">
          <cell r="A129" t="str">
            <v>T_C-ICE-NGA-S1</v>
          </cell>
          <cell r="B129" t="str">
            <v>VAR_fout</v>
          </cell>
          <cell r="C129" t="str">
            <v>TPCAR</v>
          </cell>
          <cell r="D129">
            <v>2.1905708283631547E-3</v>
          </cell>
          <cell r="E129">
            <v>1.0556890725744855E-3</v>
          </cell>
          <cell r="F129">
            <v>1.1886873664772419E-3</v>
          </cell>
          <cell r="G129">
            <v>2.8298383833802291E-4</v>
          </cell>
          <cell r="H129">
            <v>1.4066452445011664E-4</v>
          </cell>
          <cell r="I129">
            <v>2.8280564044512676E-5</v>
          </cell>
        </row>
        <row r="130">
          <cell r="A130" t="str">
            <v>T_C-ICE-NGA-S1</v>
          </cell>
          <cell r="B130" t="str">
            <v>VAR_fin</v>
          </cell>
          <cell r="C130" t="str">
            <v>TNGA</v>
          </cell>
          <cell r="D130">
            <v>3.5591533956449567E-3</v>
          </cell>
          <cell r="E130">
            <v>1.6445037376323652E-3</v>
          </cell>
          <cell r="F130">
            <v>1.8670030523658761E-3</v>
          </cell>
          <cell r="G130">
            <v>4.7139039032046646E-4</v>
          </cell>
          <cell r="H130">
            <v>2.3383088862009564E-4</v>
          </cell>
          <cell r="I130">
            <v>4.6258672682425282E-5</v>
          </cell>
        </row>
        <row r="131">
          <cell r="A131" t="str">
            <v>T_C-ICE-NGA-S1</v>
          </cell>
          <cell r="B131" t="str">
            <v>VAR_ncap</v>
          </cell>
          <cell r="C131" t="str">
            <v>-</v>
          </cell>
          <cell r="E131">
            <v>5.9364156059091198E-6</v>
          </cell>
          <cell r="F131">
            <v>7.59889132095005E-6</v>
          </cell>
          <cell r="G131">
            <v>6.6687338468742697E-6</v>
          </cell>
        </row>
        <row r="132">
          <cell r="A132" t="str">
            <v>T_C-ICE-NGA-S1</v>
          </cell>
          <cell r="B132" t="str">
            <v>VAR_cap</v>
          </cell>
          <cell r="C132" t="str">
            <v>-</v>
          </cell>
          <cell r="D132">
            <v>2.5586419413836599E-4</v>
          </cell>
          <cell r="E132">
            <v>1.5426639237222278E-4</v>
          </cell>
          <cell r="F132">
            <v>1.6261889718117528E-4</v>
          </cell>
          <cell r="G132">
            <v>3.6398473127101692E-5</v>
          </cell>
          <cell r="H132">
            <v>1.9863706614867922E-5</v>
          </cell>
          <cell r="I132">
            <v>4.0460329887074458E-6</v>
          </cell>
        </row>
        <row r="133">
          <cell r="A133" t="str">
            <v>D-T-ELC-car</v>
          </cell>
          <cell r="B133" t="str">
            <v>VAR_fout</v>
          </cell>
          <cell r="C133" t="str">
            <v>T-ELC-car</v>
          </cell>
          <cell r="D133">
            <v>0.74108547857348672</v>
          </cell>
          <cell r="E133">
            <v>1.4466209295303607</v>
          </cell>
          <cell r="F133">
            <v>4.3780682956730024</v>
          </cell>
          <cell r="G133">
            <v>8.9066725244430192</v>
          </cell>
          <cell r="H133">
            <v>34.460634525025398</v>
          </cell>
          <cell r="I133">
            <v>38.943431224592096</v>
          </cell>
        </row>
        <row r="134">
          <cell r="A134" t="str">
            <v>D-T-ELC-car</v>
          </cell>
          <cell r="B134" t="str">
            <v>VAR_fin</v>
          </cell>
          <cell r="C134" t="str">
            <v>TELC</v>
          </cell>
          <cell r="D134">
            <v>0.74108547857348672</v>
          </cell>
          <cell r="E134">
            <v>1.4466209295303607</v>
          </cell>
          <cell r="F134">
            <v>4.3780682956730024</v>
          </cell>
          <cell r="G134">
            <v>8.9066725244430192</v>
          </cell>
          <cell r="H134">
            <v>34.460634525025398</v>
          </cell>
          <cell r="I134">
            <v>38.943431224592096</v>
          </cell>
        </row>
        <row r="135">
          <cell r="A135" t="str">
            <v>D-T-ELC-car</v>
          </cell>
          <cell r="B135" t="str">
            <v>VAR_ncap</v>
          </cell>
          <cell r="C135" t="str">
            <v>-</v>
          </cell>
          <cell r="D135">
            <v>1.1610596877383101E-6</v>
          </cell>
          <cell r="E135">
            <v>8.3693682671560695E-7</v>
          </cell>
          <cell r="F135">
            <v>0.97427194454171995</v>
          </cell>
          <cell r="G135">
            <v>2.99685701650714</v>
          </cell>
          <cell r="H135">
            <v>12.5409866640848</v>
          </cell>
          <cell r="I135">
            <v>26.536835107149098</v>
          </cell>
        </row>
        <row r="136">
          <cell r="A136" t="str">
            <v>D-T-ELC-car</v>
          </cell>
          <cell r="B136" t="str">
            <v>VAR_cap</v>
          </cell>
          <cell r="C136" t="str">
            <v>-</v>
          </cell>
          <cell r="D136">
            <v>1.2762591181177376</v>
          </cell>
          <cell r="E136">
            <v>1.2762599550545644</v>
          </cell>
          <cell r="F136">
            <v>2.2505318995962837</v>
          </cell>
          <cell r="G136">
            <v>5.2473889161034197</v>
          </cell>
          <cell r="H136">
            <v>29.129024855511901</v>
          </cell>
          <cell r="I136">
            <v>41.716116283345499</v>
          </cell>
        </row>
        <row r="137">
          <cell r="A137" t="str">
            <v>T_C-ICE-NGA-S2</v>
          </cell>
          <cell r="B137" t="str">
            <v>VAR_fout</v>
          </cell>
          <cell r="C137" t="str">
            <v>CO2_T</v>
          </cell>
          <cell r="D137">
            <v>2.9703707139091748</v>
          </cell>
          <cell r="E137">
            <v>0.33229266455433137</v>
          </cell>
          <cell r="F137">
            <v>0.43838077671516673</v>
          </cell>
          <cell r="G137">
            <v>7.4907047082048303E-2</v>
          </cell>
          <cell r="H137">
            <v>2.1519227791956353E-2</v>
          </cell>
          <cell r="I137">
            <v>2.4000402241795399E-3</v>
          </cell>
        </row>
        <row r="138">
          <cell r="A138" t="str">
            <v>T_C-ICE-NGA-S2</v>
          </cell>
          <cell r="B138" t="str">
            <v>VAR_fout</v>
          </cell>
          <cell r="C138" t="str">
            <v>TPCAR</v>
          </cell>
          <cell r="D138">
            <v>3.3272241023779292E-2</v>
          </cell>
          <cell r="E138">
            <v>3.8821740959722592E-3</v>
          </cell>
          <cell r="F138">
            <v>5.0906794802761841E-3</v>
          </cell>
          <cell r="G138">
            <v>7.4017707658500902E-4</v>
          </cell>
          <cell r="H138">
            <v>1.8330707995210067E-4</v>
          </cell>
          <cell r="I138">
            <v>2.0822833180416104E-5</v>
          </cell>
        </row>
        <row r="139">
          <cell r="A139" t="str">
            <v>T_C-ICE-NGA-S2</v>
          </cell>
          <cell r="B139" t="str">
            <v>VAR_fin</v>
          </cell>
          <cell r="C139" t="str">
            <v>TNGA</v>
          </cell>
          <cell r="D139">
            <v>5.2666147409737123E-2</v>
          </cell>
          <cell r="E139">
            <v>5.8917139105378142E-3</v>
          </cell>
          <cell r="F139">
            <v>7.772708807006483E-3</v>
          </cell>
          <cell r="G139">
            <v>1.3281391326604307E-3</v>
          </cell>
          <cell r="H139">
            <v>3.8154659205596482E-4</v>
          </cell>
          <cell r="I139">
            <v>4.2553904684034389E-5</v>
          </cell>
        </row>
        <row r="140">
          <cell r="A140" t="str">
            <v>T_C-ICE-NGA-S2</v>
          </cell>
          <cell r="B140" t="str">
            <v>VAR_ncap</v>
          </cell>
          <cell r="C140" t="str">
            <v>-</v>
          </cell>
          <cell r="E140">
            <v>3.5993031323401798E-6</v>
          </cell>
          <cell r="F140">
            <v>6.77259470144056E-6</v>
          </cell>
          <cell r="G140">
            <v>6.9317121895371401E-6</v>
          </cell>
        </row>
        <row r="141">
          <cell r="A141" t="str">
            <v>T_C-ICE-NGA-S2</v>
          </cell>
          <cell r="B141" t="str">
            <v>VAR_cap</v>
          </cell>
          <cell r="C141" t="str">
            <v>-</v>
          </cell>
          <cell r="D141">
            <v>2.5788999110840367E-3</v>
          </cell>
          <cell r="E141">
            <v>4.0257513014045967E-4</v>
          </cell>
          <cell r="F141">
            <v>4.0664957276777226E-4</v>
          </cell>
          <cell r="G141">
            <v>5.9456766361322758E-5</v>
          </cell>
          <cell r="H141">
            <v>1.7442328909183963E-5</v>
          </cell>
          <cell r="I141">
            <v>2.0296970477113999E-6</v>
          </cell>
        </row>
        <row r="142">
          <cell r="A142" t="str">
            <v>TFLGV-ICEDSL</v>
          </cell>
          <cell r="B142" t="str">
            <v>VAR_fout</v>
          </cell>
          <cell r="C142" t="str">
            <v>CO2_T</v>
          </cell>
          <cell r="D142">
            <v>325.31121280186562</v>
          </cell>
          <cell r="E142">
            <v>384.61243321541127</v>
          </cell>
          <cell r="F142">
            <v>366.41490377701069</v>
          </cell>
          <cell r="G142">
            <v>154.7608365520596</v>
          </cell>
          <cell r="H142">
            <v>8.4371294572061578E-2</v>
          </cell>
          <cell r="I142">
            <v>4.046775542118723E-3</v>
          </cell>
        </row>
        <row r="143">
          <cell r="A143" t="str">
            <v>TFLGV-ICEDSL</v>
          </cell>
          <cell r="B143" t="str">
            <v>VAR_fout</v>
          </cell>
          <cell r="C143" t="str">
            <v>TFLGV</v>
          </cell>
          <cell r="D143">
            <v>1.5183313408121673</v>
          </cell>
          <cell r="E143">
            <v>1.7951090784339425</v>
          </cell>
          <cell r="F143">
            <v>1.7101753959036001</v>
          </cell>
          <cell r="G143">
            <v>0.7223182577798738</v>
          </cell>
          <cell r="H143">
            <v>3.9378778158402893E-4</v>
          </cell>
          <cell r="I143">
            <v>1.8887594073104638E-5</v>
          </cell>
        </row>
        <row r="144">
          <cell r="A144" t="str">
            <v>TFLGV-ICEDSL</v>
          </cell>
          <cell r="B144" t="str">
            <v>VAR_fin</v>
          </cell>
          <cell r="C144" t="str">
            <v>TDSL</v>
          </cell>
          <cell r="D144">
            <v>4.4380793015261402</v>
          </cell>
          <cell r="E144">
            <v>5.2471000438664595</v>
          </cell>
          <cell r="F144">
            <v>4.9988390692634299</v>
          </cell>
          <cell r="G144">
            <v>2.1113347415014934</v>
          </cell>
          <cell r="H144">
            <v>1.1510408536434069E-3</v>
          </cell>
          <cell r="I144">
            <v>5.5208397573243015E-5</v>
          </cell>
        </row>
        <row r="145">
          <cell r="A145" t="str">
            <v>TFLGV-ICEDSL</v>
          </cell>
          <cell r="B145" t="str">
            <v>VAR_ncap</v>
          </cell>
          <cell r="C145" t="str">
            <v>-</v>
          </cell>
          <cell r="E145">
            <v>4.1489001321813199E-5</v>
          </cell>
          <cell r="F145">
            <v>8.0594066428982497E-4</v>
          </cell>
          <cell r="G145">
            <v>8.29403469128328E-5</v>
          </cell>
          <cell r="H145">
            <v>3.5931134106985499E-6</v>
          </cell>
          <cell r="I145">
            <v>2.5613987810531901E-7</v>
          </cell>
        </row>
        <row r="146">
          <cell r="A146" t="str">
            <v>TFLGV-ICEDSL</v>
          </cell>
          <cell r="B146" t="str">
            <v>VAR_cap</v>
          </cell>
          <cell r="C146" t="str">
            <v>-</v>
          </cell>
          <cell r="D146">
            <v>0.10616838565435495</v>
          </cell>
          <cell r="E146">
            <v>0.12519697389894791</v>
          </cell>
          <cell r="F146">
            <v>0.12600295986579574</v>
          </cell>
          <cell r="G146">
            <v>7.1767614581127903E-2</v>
          </cell>
          <cell r="H146">
            <v>3.5409813844372501E-5</v>
          </cell>
          <cell r="I146">
            <v>1.6433821232825705E-6</v>
          </cell>
        </row>
        <row r="147">
          <cell r="A147" t="str">
            <v>T_C-ICE-NGA-S3</v>
          </cell>
          <cell r="B147" t="str">
            <v>VAR_fout</v>
          </cell>
          <cell r="C147" t="str">
            <v>CO2_T</v>
          </cell>
          <cell r="D147">
            <v>0.23682423426689669</v>
          </cell>
          <cell r="E147">
            <v>0.10754168710849513</v>
          </cell>
          <cell r="F147">
            <v>0.15144315993118898</v>
          </cell>
          <cell r="G147">
            <v>9.3081638948122478E-2</v>
          </cell>
          <cell r="H147">
            <v>2.7475810625366769E-2</v>
          </cell>
          <cell r="I147">
            <v>2.8856976755592899E-3</v>
          </cell>
        </row>
        <row r="148">
          <cell r="A148" t="str">
            <v>T_C-ICE-NGA-S3</v>
          </cell>
          <cell r="B148" t="str">
            <v>VAR_fout</v>
          </cell>
          <cell r="C148" t="str">
            <v>TPCAR</v>
          </cell>
          <cell r="D148">
            <v>1.9665470488004332E-3</v>
          </cell>
          <cell r="E148">
            <v>9.3369238449856229E-4</v>
          </cell>
          <cell r="F148">
            <v>1.3147981871585572E-3</v>
          </cell>
          <cell r="G148">
            <v>7.9159881011617132E-4</v>
          </cell>
          <cell r="H148">
            <v>2.2546147056813989E-4</v>
          </cell>
          <cell r="I148">
            <v>2.4035927583714685E-5</v>
          </cell>
        </row>
        <row r="149">
          <cell r="A149" t="str">
            <v>T_C-ICE-NGA-S3</v>
          </cell>
          <cell r="B149" t="str">
            <v>VAR_fin</v>
          </cell>
          <cell r="C149" t="str">
            <v>TNGA</v>
          </cell>
          <cell r="D149">
            <v>4.1990112458669647E-3</v>
          </cell>
          <cell r="E149">
            <v>1.906767501923668E-3</v>
          </cell>
          <cell r="F149">
            <v>2.6851624101274646E-3</v>
          </cell>
          <cell r="G149">
            <v>1.6503836692929514E-3</v>
          </cell>
          <cell r="H149">
            <v>4.8715976286111236E-4</v>
          </cell>
          <cell r="I149">
            <v>5.1164852403533473E-5</v>
          </cell>
        </row>
        <row r="150">
          <cell r="A150" t="str">
            <v>T_C-ICE-NGA-S3</v>
          </cell>
          <cell r="B150" t="str">
            <v>VAR_ncap</v>
          </cell>
          <cell r="C150" t="str">
            <v>-</v>
          </cell>
          <cell r="E150">
            <v>4.2235422570453202E-6</v>
          </cell>
          <cell r="F150">
            <v>7.6306728933744092E-6</v>
          </cell>
          <cell r="G150">
            <v>8.3787333573963993E-6</v>
          </cell>
        </row>
        <row r="151">
          <cell r="A151" t="str">
            <v>T_C-ICE-NGA-S3</v>
          </cell>
          <cell r="B151" t="str">
            <v>VAR_cap</v>
          </cell>
          <cell r="C151" t="str">
            <v>-</v>
          </cell>
          <cell r="D151">
            <v>1.5058374009938307E-4</v>
          </cell>
          <cell r="E151">
            <v>8.666326866113443E-5</v>
          </cell>
          <cell r="F151">
            <v>9.4966511096644091E-5</v>
          </cell>
          <cell r="G151">
            <v>5.4665822903269797E-5</v>
          </cell>
          <cell r="H151">
            <v>1.9291661167705683E-5</v>
          </cell>
          <cell r="I151">
            <v>2.0787236919628395E-6</v>
          </cell>
        </row>
        <row r="152">
          <cell r="A152" t="str">
            <v>T_C-ICE-NGA-S4</v>
          </cell>
          <cell r="B152" t="str">
            <v>VAR_fout</v>
          </cell>
          <cell r="C152" t="str">
            <v>CO2_T</v>
          </cell>
          <cell r="D152">
            <v>2.716627350358233</v>
          </cell>
          <cell r="E152">
            <v>1.8689916406914557</v>
          </cell>
          <cell r="F152">
            <v>2.4810881069628983</v>
          </cell>
          <cell r="G152">
            <v>5.6672204568002517E-2</v>
          </cell>
          <cell r="H152">
            <v>3.9241364170917642E-2</v>
          </cell>
          <cell r="I152">
            <v>3.8606764643478501E-3</v>
          </cell>
        </row>
        <row r="153">
          <cell r="A153" t="str">
            <v>T_C-ICE-NGA-S4</v>
          </cell>
          <cell r="B153" t="str">
            <v>VAR_fout</v>
          </cell>
          <cell r="C153" t="str">
            <v>TPCAR</v>
          </cell>
          <cell r="D153">
            <v>3.2883419764449216E-2</v>
          </cell>
          <cell r="E153">
            <v>2.2595570801120367E-2</v>
          </cell>
          <cell r="F153">
            <v>2.9948911179977309E-2</v>
          </cell>
          <cell r="G153">
            <v>5.6336010362655119E-4</v>
          </cell>
          <cell r="H153">
            <v>3.2583373753105612E-4</v>
          </cell>
          <cell r="I153">
            <v>3.2453786603385905E-5</v>
          </cell>
        </row>
        <row r="154">
          <cell r="A154" t="str">
            <v>T_C-ICE-NGA-S4</v>
          </cell>
          <cell r="B154" t="str">
            <v>VAR_fin</v>
          </cell>
          <cell r="C154" t="str">
            <v>TNGA</v>
          </cell>
          <cell r="D154">
            <v>4.8167151602096336E-2</v>
          </cell>
          <cell r="E154">
            <v>3.3138149657649801E-2</v>
          </cell>
          <cell r="F154">
            <v>4.3990923882320877E-2</v>
          </cell>
          <cell r="G154">
            <v>1.0048263221277057E-3</v>
          </cell>
          <cell r="H154">
            <v>6.9576886827868196E-4</v>
          </cell>
          <cell r="I154">
            <v>6.845171036077747E-5</v>
          </cell>
        </row>
        <row r="155">
          <cell r="A155" t="str">
            <v>T_C-ICE-NGA-S4</v>
          </cell>
          <cell r="B155" t="str">
            <v>VAR_ncap</v>
          </cell>
          <cell r="C155" t="str">
            <v>-</v>
          </cell>
          <cell r="E155">
            <v>4.4381601118667501E-6</v>
          </cell>
          <cell r="F155">
            <v>8.0120970856515693E-6</v>
          </cell>
          <cell r="G155">
            <v>9.1744731178163295E-6</v>
          </cell>
        </row>
        <row r="156">
          <cell r="A156" t="str">
            <v>T_C-ICE-NGA-S4</v>
          </cell>
          <cell r="B156" t="str">
            <v>VAR_cap</v>
          </cell>
          <cell r="C156" t="str">
            <v>-</v>
          </cell>
          <cell r="D156">
            <v>2.6074482428115001E-3</v>
          </cell>
          <cell r="E156">
            <v>2.5376033381602197E-3</v>
          </cell>
          <cell r="F156">
            <v>2.3671489979161038E-3</v>
          </cell>
          <cell r="G156">
            <v>4.637445745355709E-5</v>
          </cell>
          <cell r="H156">
            <v>3.3808081891094185E-5</v>
          </cell>
          <cell r="I156">
            <v>3.4190964305178192E-6</v>
          </cell>
        </row>
        <row r="157">
          <cell r="A157" t="str">
            <v>T_C-MHY-GSL-S1</v>
          </cell>
          <cell r="B157" t="str">
            <v>VAR_fout</v>
          </cell>
          <cell r="C157" t="str">
            <v>CO2_T</v>
          </cell>
          <cell r="E157">
            <v>8.6643305760474895E-2</v>
          </cell>
          <cell r="F157">
            <v>0.2231149215916205</v>
          </cell>
          <cell r="G157">
            <v>0.29441320389548464</v>
          </cell>
          <cell r="H157">
            <v>8.6721337947735705E-2</v>
          </cell>
          <cell r="I157">
            <v>1.0848418412340691E-2</v>
          </cell>
        </row>
        <row r="158">
          <cell r="A158" t="str">
            <v>T_C-MHY-GSL-S1</v>
          </cell>
          <cell r="B158" t="str">
            <v>VAR_fout</v>
          </cell>
          <cell r="C158" t="str">
            <v>TPCAR</v>
          </cell>
          <cell r="E158">
            <v>6.0858853933020145E-4</v>
          </cell>
          <cell r="F158">
            <v>1.633930322529594E-3</v>
          </cell>
          <cell r="G158">
            <v>2.2592025201612705E-3</v>
          </cell>
          <cell r="H158">
            <v>7.4429697503046986E-4</v>
          </cell>
          <cell r="I158">
            <v>1.0463698835861989E-4</v>
          </cell>
        </row>
        <row r="159">
          <cell r="A159" t="str">
            <v>T_C-MHY-GSL-S1</v>
          </cell>
          <cell r="B159" t="str">
            <v>VAR_fin</v>
          </cell>
          <cell r="C159" t="str">
            <v>TGSL</v>
          </cell>
          <cell r="E159">
            <v>1.1740285333397692E-3</v>
          </cell>
          <cell r="F159">
            <v>3.0232374199406554E-3</v>
          </cell>
          <cell r="G159">
            <v>3.9893388061718726E-3</v>
          </cell>
          <cell r="H159">
            <v>1.1750858800506196E-3</v>
          </cell>
          <cell r="I159">
            <v>1.4699753946261095E-4</v>
          </cell>
        </row>
        <row r="160">
          <cell r="A160" t="str">
            <v>T_C-MHY-GSL-S1</v>
          </cell>
          <cell r="B160" t="str">
            <v>VAR_ncap</v>
          </cell>
          <cell r="C160" t="str">
            <v>-</v>
          </cell>
          <cell r="E160">
            <v>8.5455974412680901E-5</v>
          </cell>
          <cell r="F160">
            <v>1.60527127765823E-4</v>
          </cell>
          <cell r="G160">
            <v>1.4051484065202101E-4</v>
          </cell>
          <cell r="H160">
            <v>1.49392794459313E-5</v>
          </cell>
        </row>
        <row r="161">
          <cell r="A161" t="str">
            <v>T_C-MHY-GSL-S1</v>
          </cell>
          <cell r="B161" t="str">
            <v>VAR_cap</v>
          </cell>
          <cell r="C161" t="str">
            <v>-</v>
          </cell>
          <cell r="E161">
            <v>8.4318286128482007E-5</v>
          </cell>
          <cell r="F161">
            <v>2.3788202441481099E-4</v>
          </cell>
          <cell r="G161">
            <v>3.3629437452287799E-4</v>
          </cell>
          <cell r="H161">
            <v>1.08462126608998E-4</v>
          </cell>
          <cell r="I161">
            <v>1.54386035570959E-5</v>
          </cell>
        </row>
        <row r="162">
          <cell r="A162" t="str">
            <v>T_TRLY_ELC</v>
          </cell>
          <cell r="B162" t="str">
            <v>VAR_fout</v>
          </cell>
          <cell r="C162" t="str">
            <v>TPTRLY</v>
          </cell>
          <cell r="D162">
            <v>2.7120999999999972E-2</v>
          </cell>
          <cell r="E162">
            <v>2.7782165745480814E-2</v>
          </cell>
          <cell r="F162">
            <v>2.8832315767707572E-2</v>
          </cell>
          <cell r="G162">
            <v>3.0543631535415186E-2</v>
          </cell>
          <cell r="H162">
            <v>3.2006602244411902E-2</v>
          </cell>
          <cell r="I162">
            <v>3.3071687199031086E-2</v>
          </cell>
        </row>
        <row r="163">
          <cell r="A163" t="str">
            <v>T_TRLY_ELC</v>
          </cell>
          <cell r="B163" t="str">
            <v>VAR_fin</v>
          </cell>
          <cell r="C163" t="str">
            <v>TELC</v>
          </cell>
          <cell r="D163">
            <v>0.2816422643485601</v>
          </cell>
          <cell r="E163">
            <v>0.30668648626079364</v>
          </cell>
          <cell r="F163">
            <v>0.35149986092475399</v>
          </cell>
          <cell r="G163">
            <v>0.45078090930791764</v>
          </cell>
          <cell r="H163">
            <v>0.47237229295618205</v>
          </cell>
          <cell r="I163">
            <v>0.48809144422268164</v>
          </cell>
        </row>
        <row r="164">
          <cell r="A164" t="str">
            <v>T_C-MHY-GSL-S2</v>
          </cell>
          <cell r="B164" t="str">
            <v>VAR_fout</v>
          </cell>
          <cell r="C164" t="str">
            <v>CO2_T</v>
          </cell>
          <cell r="E164">
            <v>7.4695645274384104E-2</v>
          </cell>
          <cell r="F164">
            <v>0.21131037825004101</v>
          </cell>
          <cell r="G164">
            <v>0.31417988245689676</v>
          </cell>
          <cell r="H164">
            <v>9.2830350874740633E-2</v>
          </cell>
          <cell r="I164">
            <v>9.4340253340920999E-3</v>
          </cell>
        </row>
        <row r="165">
          <cell r="A165" t="str">
            <v>T_C-MHY-GSL-S2</v>
          </cell>
          <cell r="B165" t="str">
            <v>VAR_fout</v>
          </cell>
          <cell r="C165" t="str">
            <v>TPCAR</v>
          </cell>
          <cell r="E165">
            <v>4.2240196335186387E-4</v>
          </cell>
          <cell r="F165">
            <v>1.2512657619474208E-3</v>
          </cell>
          <cell r="G165">
            <v>1.9707472358014375E-3</v>
          </cell>
          <cell r="H165">
            <v>6.4425516852623869E-4</v>
          </cell>
          <cell r="I165">
            <v>7.3829091115077913E-5</v>
          </cell>
        </row>
        <row r="166">
          <cell r="A166" t="str">
            <v>T_C-MHY-GSL-S2</v>
          </cell>
          <cell r="B166" t="str">
            <v>VAR_fin</v>
          </cell>
          <cell r="C166" t="str">
            <v>TGSL</v>
          </cell>
          <cell r="E166">
            <v>1.0121361148290524E-3</v>
          </cell>
          <cell r="F166">
            <v>2.8632842581306347E-3</v>
          </cell>
          <cell r="G166">
            <v>4.2571799790907397E-3</v>
          </cell>
          <cell r="H166">
            <v>1.2578638329910625E-3</v>
          </cell>
          <cell r="I166">
            <v>1.2783232160016374E-4</v>
          </cell>
        </row>
        <row r="167">
          <cell r="A167" t="str">
            <v>T_C-MHY-GSL-S2</v>
          </cell>
          <cell r="B167" t="str">
            <v>VAR_ncap</v>
          </cell>
          <cell r="C167" t="str">
            <v>-</v>
          </cell>
          <cell r="E167">
            <v>3.5960877807077997E-5</v>
          </cell>
          <cell r="F167">
            <v>7.8377520195444905E-5</v>
          </cell>
          <cell r="G167">
            <v>9.2217454248953002E-5</v>
          </cell>
          <cell r="H167">
            <v>5.9732841202385101E-6</v>
          </cell>
        </row>
        <row r="168">
          <cell r="A168" t="str">
            <v>T_C-MHY-GSL-S2</v>
          </cell>
          <cell r="B168" t="str">
            <v>VAR_cap</v>
          </cell>
          <cell r="C168" t="str">
            <v>-</v>
          </cell>
          <cell r="E168">
            <v>3.5482125213689403E-5</v>
          </cell>
          <cell r="F168">
            <v>1.1078524355783399E-4</v>
          </cell>
          <cell r="G168">
            <v>1.8227860644133201E-4</v>
          </cell>
          <cell r="H168">
            <v>6.3065080729051502E-5</v>
          </cell>
          <cell r="I168">
            <v>7.5531634582734504E-6</v>
          </cell>
        </row>
        <row r="169">
          <cell r="A169" t="str">
            <v>T_C-MHY-DSL-S1</v>
          </cell>
          <cell r="B169" t="str">
            <v>VAR_fout</v>
          </cell>
          <cell r="C169" t="str">
            <v>CO2_T</v>
          </cell>
          <cell r="E169">
            <v>6.8882236523522294E-2</v>
          </cell>
          <cell r="F169">
            <v>0.18356307201449029</v>
          </cell>
          <cell r="G169">
            <v>0.25744299904284212</v>
          </cell>
          <cell r="H169">
            <v>7.6360391859137497E-2</v>
          </cell>
          <cell r="I169">
            <v>8.2786909374211997E-3</v>
          </cell>
        </row>
        <row r="170">
          <cell r="A170" t="str">
            <v>T_C-MHY-DSL-S1</v>
          </cell>
          <cell r="B170" t="str">
            <v>VAR_fout</v>
          </cell>
          <cell r="C170" t="str">
            <v>TPCAR</v>
          </cell>
          <cell r="E170">
            <v>5.2816178210508965E-4</v>
          </cell>
          <cell r="F170">
            <v>1.4575557730080809E-3</v>
          </cell>
          <cell r="G170">
            <v>2.1325526410415642E-3</v>
          </cell>
          <cell r="H170">
            <v>6.8862598372240974E-4</v>
          </cell>
          <cell r="I170">
            <v>8.2742934561646104E-5</v>
          </cell>
        </row>
        <row r="171">
          <cell r="A171" t="str">
            <v>T_C-MHY-DSL-S1</v>
          </cell>
          <cell r="B171" t="str">
            <v>VAR_fin</v>
          </cell>
          <cell r="C171" t="str">
            <v>TDSL</v>
          </cell>
          <cell r="E171">
            <v>9.3973037549143596E-4</v>
          </cell>
          <cell r="F171">
            <v>2.5042711052454393E-3</v>
          </cell>
          <cell r="G171">
            <v>3.512182797310266E-3</v>
          </cell>
          <cell r="H171">
            <v>1.0417515942583576E-3</v>
          </cell>
          <cell r="I171">
            <v>1.1294257759101239E-4</v>
          </cell>
        </row>
        <row r="172">
          <cell r="A172" t="str">
            <v>T_C-MHY-DSL-S1</v>
          </cell>
          <cell r="B172" t="str">
            <v>VAR_ncap</v>
          </cell>
          <cell r="C172" t="str">
            <v>-</v>
          </cell>
          <cell r="E172">
            <v>7.3589024651437294E-5</v>
          </cell>
          <cell r="F172">
            <v>1.4415073227567999E-4</v>
          </cell>
          <cell r="G172">
            <v>1.4357010927078899E-4</v>
          </cell>
          <cell r="H172">
            <v>1.12785537237652E-5</v>
          </cell>
        </row>
        <row r="173">
          <cell r="A173" t="str">
            <v>T_C-MHY-DSL-S1</v>
          </cell>
          <cell r="B173" t="str">
            <v>VAR_cap</v>
          </cell>
          <cell r="C173" t="str">
            <v>-</v>
          </cell>
          <cell r="E173">
            <v>7.2609322860345903E-5</v>
          </cell>
          <cell r="F173">
            <v>2.10684892711047E-4</v>
          </cell>
          <cell r="G173">
            <v>3.1612333179624502E-4</v>
          </cell>
          <cell r="H173">
            <v>1.0003387919575E-4</v>
          </cell>
          <cell r="I173">
            <v>1.2204407324204101E-5</v>
          </cell>
        </row>
        <row r="174">
          <cell r="A174" t="str">
            <v>T_C-MHY-GSL-S3</v>
          </cell>
          <cell r="B174" t="str">
            <v>VAR_fout</v>
          </cell>
          <cell r="C174" t="str">
            <v>CO2_T</v>
          </cell>
          <cell r="E174">
            <v>0.120631649720448</v>
          </cell>
          <cell r="F174">
            <v>0.29044830533236499</v>
          </cell>
          <cell r="G174">
            <v>0.43113155633065203</v>
          </cell>
          <cell r="H174">
            <v>9.5880227158374659E-2</v>
          </cell>
          <cell r="I174">
            <v>8.5114542051946199E-3</v>
          </cell>
        </row>
        <row r="175">
          <cell r="A175" t="str">
            <v>T_C-MHY-GSL-S3</v>
          </cell>
          <cell r="B175" t="str">
            <v>VAR_fout</v>
          </cell>
          <cell r="C175" t="str">
            <v>TPCAR</v>
          </cell>
          <cell r="E175">
            <v>6.3416599295138334E-4</v>
          </cell>
          <cell r="F175">
            <v>1.5934845395725672E-3</v>
          </cell>
          <cell r="G175">
            <v>2.5014042927756384E-3</v>
          </cell>
          <cell r="H175">
            <v>6.1598414230137324E-4</v>
          </cell>
          <cell r="I175">
            <v>6.2094298461335784E-5</v>
          </cell>
        </row>
        <row r="176">
          <cell r="A176" t="str">
            <v>T_C-MHY-GSL-S3</v>
          </cell>
          <cell r="B176" t="str">
            <v>VAR_fin</v>
          </cell>
          <cell r="C176" t="str">
            <v>TGSL</v>
          </cell>
          <cell r="E176">
            <v>1.6345751994640701E-3</v>
          </cell>
          <cell r="F176">
            <v>3.9356138933924895E-3</v>
          </cell>
          <cell r="G176">
            <v>5.8418910071904098E-3</v>
          </cell>
          <cell r="H176">
            <v>1.2991900698966744E-3</v>
          </cell>
          <cell r="I176">
            <v>1.1533135779396504E-4</v>
          </cell>
        </row>
        <row r="177">
          <cell r="A177" t="str">
            <v>T_C-MHY-GSL-S3</v>
          </cell>
          <cell r="B177" t="str">
            <v>VAR_ncap</v>
          </cell>
          <cell r="C177" t="str">
            <v>-</v>
          </cell>
          <cell r="E177">
            <v>4.6353475261481403E-5</v>
          </cell>
          <cell r="F177">
            <v>7.6191536141724701E-5</v>
          </cell>
          <cell r="G177">
            <v>8.4217641324906806E-5</v>
          </cell>
          <cell r="H177">
            <v>4.6229721998024503E-6</v>
          </cell>
        </row>
        <row r="178">
          <cell r="A178" t="str">
            <v>T_C-MHY-GSL-S3</v>
          </cell>
          <cell r="B178" t="str">
            <v>VAR_cap</v>
          </cell>
          <cell r="C178" t="str">
            <v>-</v>
          </cell>
          <cell r="E178">
            <v>4.5736364449752499E-5</v>
          </cell>
          <cell r="F178">
            <v>1.1829566193279301E-4</v>
          </cell>
          <cell r="G178">
            <v>1.80558661533639E-4</v>
          </cell>
          <cell r="H178">
            <v>5.49509395828219E-5</v>
          </cell>
          <cell r="I178">
            <v>5.8236135060323796E-6</v>
          </cell>
        </row>
        <row r="179">
          <cell r="A179" t="str">
            <v>T_C-MHY-DSL-S2</v>
          </cell>
          <cell r="B179" t="str">
            <v>VAR_fout</v>
          </cell>
          <cell r="C179" t="str">
            <v>CO2_T</v>
          </cell>
          <cell r="E179">
            <v>6.0515878759150099E-2</v>
          </cell>
          <cell r="F179">
            <v>0.17871432426595199</v>
          </cell>
          <cell r="G179">
            <v>0.3018760897301051</v>
          </cell>
          <cell r="H179">
            <v>7.9859050653089347E-2</v>
          </cell>
          <cell r="I179">
            <v>7.1357438601632392E-3</v>
          </cell>
        </row>
        <row r="180">
          <cell r="A180" t="str">
            <v>T_C-MHY-DSL-S2</v>
          </cell>
          <cell r="B180" t="str">
            <v>VAR_fout</v>
          </cell>
          <cell r="C180" t="str">
            <v>TPCAR</v>
          </cell>
          <cell r="E180">
            <v>3.7325125509901625E-4</v>
          </cell>
          <cell r="F180">
            <v>1.1457923714970476E-3</v>
          </cell>
          <cell r="G180">
            <v>2.0383596963866888E-3</v>
          </cell>
          <cell r="H180">
            <v>5.8311575381785519E-4</v>
          </cell>
          <cell r="I180">
            <v>5.7936922593888062E-5</v>
          </cell>
        </row>
        <row r="181">
          <cell r="A181" t="str">
            <v>T_C-MHY-DSL-S2</v>
          </cell>
          <cell r="B181" t="str">
            <v>VAR_fin</v>
          </cell>
          <cell r="C181" t="str">
            <v>TDSL</v>
          </cell>
          <cell r="E181">
            <v>8.2559179753274262E-4</v>
          </cell>
          <cell r="F181">
            <v>2.4381217498765659E-3</v>
          </cell>
          <cell r="G181">
            <v>4.1183641163725221E-3</v>
          </cell>
          <cell r="H181">
            <v>1.0894822735755712E-3</v>
          </cell>
          <cell r="I181">
            <v>9.7349848024055226E-5</v>
          </cell>
        </row>
        <row r="182">
          <cell r="A182" t="str">
            <v>T_C-MHY-DSL-S2</v>
          </cell>
          <cell r="B182" t="str">
            <v>VAR_ncap</v>
          </cell>
          <cell r="C182" t="str">
            <v>-</v>
          </cell>
          <cell r="E182">
            <v>3.1784288849067202E-5</v>
          </cell>
          <cell r="F182">
            <v>6.9692409416288804E-5</v>
          </cell>
          <cell r="G182">
            <v>8.8663482072848506E-5</v>
          </cell>
          <cell r="H182">
            <v>4.5701791807755596E-6</v>
          </cell>
        </row>
        <row r="183">
          <cell r="A183" t="str">
            <v>T_C-MHY-DSL-S2</v>
          </cell>
          <cell r="B183" t="str">
            <v>VAR_cap</v>
          </cell>
          <cell r="C183" t="str">
            <v>-</v>
          </cell>
          <cell r="E183">
            <v>3.1361139814799E-5</v>
          </cell>
          <cell r="F183">
            <v>9.8330653344795896E-5</v>
          </cell>
          <cell r="G183">
            <v>1.6825602096715101E-4</v>
          </cell>
          <cell r="H183">
            <v>5.6604697288882303E-5</v>
          </cell>
          <cell r="I183">
            <v>5.9563171626207899E-6</v>
          </cell>
        </row>
        <row r="184">
          <cell r="A184" t="str">
            <v>T_C-MHY-GSL-S4</v>
          </cell>
          <cell r="B184" t="str">
            <v>VAR_fout</v>
          </cell>
          <cell r="C184" t="str">
            <v>CO2_T</v>
          </cell>
          <cell r="E184">
            <v>0.17936439169268101</v>
          </cell>
          <cell r="F184">
            <v>0.41037724620740301</v>
          </cell>
          <cell r="G184">
            <v>0.69680803424581605</v>
          </cell>
          <cell r="H184">
            <v>0.16497996668582346</v>
          </cell>
          <cell r="I184">
            <v>1.214511510112473E-2</v>
          </cell>
        </row>
        <row r="185">
          <cell r="A185" t="str">
            <v>T_C-MHY-GSL-S4</v>
          </cell>
          <cell r="B185" t="str">
            <v>VAR_fout</v>
          </cell>
          <cell r="C185" t="str">
            <v>TPCAR</v>
          </cell>
          <cell r="E185">
            <v>9.5594072317895852E-4</v>
          </cell>
          <cell r="F185">
            <v>2.2785216449876765E-3</v>
          </cell>
          <cell r="G185">
            <v>4.1307593698836293E-3</v>
          </cell>
          <cell r="H185">
            <v>1.0619311293245401E-3</v>
          </cell>
          <cell r="I185">
            <v>8.8742347207753486E-5</v>
          </cell>
        </row>
        <row r="186">
          <cell r="A186" t="str">
            <v>T_C-MHY-GSL-S4</v>
          </cell>
          <cell r="B186" t="str">
            <v>VAR_fin</v>
          </cell>
          <cell r="C186" t="str">
            <v>TGSL</v>
          </cell>
          <cell r="E186">
            <v>2.4304118115539407E-3</v>
          </cell>
          <cell r="F186">
            <v>5.5606672927832421E-3</v>
          </cell>
          <cell r="G186">
            <v>9.4418432824636463E-3</v>
          </cell>
          <cell r="H186">
            <v>2.2355009036019425E-3</v>
          </cell>
          <cell r="I186">
            <v>1.64567955299793E-4</v>
          </cell>
        </row>
        <row r="187">
          <cell r="A187" t="str">
            <v>T_C-MHY-GSL-S4</v>
          </cell>
          <cell r="B187" t="str">
            <v>VAR_ncap</v>
          </cell>
          <cell r="C187" t="str">
            <v>-</v>
          </cell>
          <cell r="E187">
            <v>7.9222245375921399E-5</v>
          </cell>
          <cell r="F187">
            <v>1.25884862664494E-4</v>
          </cell>
          <cell r="G187">
            <v>1.9562124406095199E-4</v>
          </cell>
          <cell r="H187">
            <v>7.4586863485367702E-6</v>
          </cell>
        </row>
        <row r="188">
          <cell r="A188" t="str">
            <v>T_C-MHY-GSL-S4</v>
          </cell>
          <cell r="B188" t="str">
            <v>VAR_cap</v>
          </cell>
          <cell r="C188" t="str">
            <v>-</v>
          </cell>
          <cell r="E188">
            <v>7.81675476671707E-5</v>
          </cell>
          <cell r="F188">
            <v>1.9790227872098199E-4</v>
          </cell>
          <cell r="G188">
            <v>3.5383725290465199E-4</v>
          </cell>
          <cell r="H188">
            <v>1.12779526847621E-4</v>
          </cell>
          <cell r="I188">
            <v>9.6856668194214703E-6</v>
          </cell>
        </row>
        <row r="189">
          <cell r="A189" t="str">
            <v>T_C-MHY-DSL-S3</v>
          </cell>
          <cell r="B189" t="str">
            <v>VAR_fout</v>
          </cell>
          <cell r="C189" t="str">
            <v>CO2_T</v>
          </cell>
          <cell r="E189">
            <v>9.0246693917822002E-2</v>
          </cell>
          <cell r="F189">
            <v>0.23285978235423382</v>
          </cell>
          <cell r="G189">
            <v>0.37244714678875823</v>
          </cell>
          <cell r="H189">
            <v>8.4048082433667237E-2</v>
          </cell>
          <cell r="I189">
            <v>6.3529746486313404E-3</v>
          </cell>
        </row>
        <row r="190">
          <cell r="A190" t="str">
            <v>T_C-MHY-DSL-S3</v>
          </cell>
          <cell r="B190" t="str">
            <v>VAR_fout</v>
          </cell>
          <cell r="C190" t="str">
            <v>TPCAR</v>
          </cell>
          <cell r="E190">
            <v>5.1744905263992726E-4</v>
          </cell>
          <cell r="F190">
            <v>1.3852077533686663E-3</v>
          </cell>
          <cell r="G190">
            <v>2.3300704699751513E-3</v>
          </cell>
          <cell r="H190">
            <v>5.6850117818319575E-4</v>
          </cell>
          <cell r="I190">
            <v>4.8076152754464207E-5</v>
          </cell>
        </row>
        <row r="191">
          <cell r="A191" t="str">
            <v>T_C-MHY-DSL-S3</v>
          </cell>
          <cell r="B191" t="str">
            <v>VAR_fin</v>
          </cell>
          <cell r="C191" t="str">
            <v>TDSL</v>
          </cell>
          <cell r="E191">
            <v>1.2311963699566453E-3</v>
          </cell>
          <cell r="F191">
            <v>3.176804670589816E-3</v>
          </cell>
          <cell r="G191">
            <v>5.0811343354537266E-3</v>
          </cell>
          <cell r="H191">
            <v>1.1466314111005065E-3</v>
          </cell>
          <cell r="I191">
            <v>8.6670868330577508E-5</v>
          </cell>
        </row>
        <row r="192">
          <cell r="A192" t="str">
            <v>T_C-MHY-DSL-S3</v>
          </cell>
          <cell r="B192" t="str">
            <v>VAR_ncap</v>
          </cell>
          <cell r="C192" t="str">
            <v>-</v>
          </cell>
          <cell r="E192">
            <v>3.7964099333625402E-5</v>
          </cell>
          <cell r="F192">
            <v>6.7722445362314898E-5</v>
          </cell>
          <cell r="G192">
            <v>8.2887777588051695E-5</v>
          </cell>
          <cell r="H192">
            <v>3.4848943397267701E-6</v>
          </cell>
        </row>
        <row r="193">
          <cell r="A193" t="str">
            <v>T_C-MHY-DSL-S3</v>
          </cell>
          <cell r="B193" t="str">
            <v>VAR_cap</v>
          </cell>
          <cell r="C193" t="str">
            <v>-</v>
          </cell>
          <cell r="E193">
            <v>3.7458677549731801E-5</v>
          </cell>
          <cell r="F193">
            <v>1.02135438428612E-4</v>
          </cell>
          <cell r="G193">
            <v>1.65686110136125E-4</v>
          </cell>
          <cell r="H193">
            <v>5.0183417363412497E-5</v>
          </cell>
          <cell r="I193">
            <v>4.5274153369569497E-6</v>
          </cell>
        </row>
        <row r="194">
          <cell r="A194" t="str">
            <v>T_B_c-HYBDSL-S1</v>
          </cell>
          <cell r="B194" t="str">
            <v>VAR_fout</v>
          </cell>
          <cell r="C194" t="str">
            <v>CO2_T</v>
          </cell>
          <cell r="E194">
            <v>0.30882399553027801</v>
          </cell>
          <cell r="F194">
            <v>0.35807168703306919</v>
          </cell>
          <cell r="G194">
            <v>7.7680393664439795E-2</v>
          </cell>
          <cell r="H194">
            <v>4.5369665127362913</v>
          </cell>
          <cell r="I194">
            <v>2.8606676210331776</v>
          </cell>
        </row>
        <row r="195">
          <cell r="A195" t="str">
            <v>T_B_c-HYBDSL-S1</v>
          </cell>
          <cell r="B195" t="str">
            <v>VAR_fout</v>
          </cell>
          <cell r="C195" t="str">
            <v>TPBSc</v>
          </cell>
          <cell r="E195">
            <v>6.8469481673008061E-4</v>
          </cell>
          <cell r="F195">
            <v>7.9983076825534375E-4</v>
          </cell>
          <cell r="G195">
            <v>1.8536818307996042E-4</v>
          </cell>
          <cell r="H195">
            <v>1.2524792733933032E-2</v>
          </cell>
          <cell r="I195">
            <v>8.7717492146816688E-3</v>
          </cell>
        </row>
        <row r="196">
          <cell r="A196" t="str">
            <v>T_B_c-HYBDSL-S1</v>
          </cell>
          <cell r="B196" t="str">
            <v>VAR_fin</v>
          </cell>
          <cell r="C196" t="str">
            <v>TDSL</v>
          </cell>
          <cell r="E196">
            <v>4.213151371490839E-3</v>
          </cell>
          <cell r="F196">
            <v>4.885016194175567E-3</v>
          </cell>
          <cell r="G196">
            <v>1.0597598044261925E-3</v>
          </cell>
          <cell r="H196">
            <v>6.1895859655338253E-2</v>
          </cell>
          <cell r="I196">
            <v>3.902684339745123E-2</v>
          </cell>
        </row>
        <row r="197">
          <cell r="A197" t="str">
            <v>T_B_c-HYBDSL-S1</v>
          </cell>
          <cell r="B197" t="str">
            <v>VAR_ncap</v>
          </cell>
          <cell r="C197" t="str">
            <v>-</v>
          </cell>
          <cell r="E197">
            <v>1.5157267731124901E-5</v>
          </cell>
          <cell r="F197">
            <v>2.9201939099074499E-6</v>
          </cell>
          <cell r="G197">
            <v>1.9960352639280501E-6</v>
          </cell>
          <cell r="H197">
            <v>2.1333135559524699E-4</v>
          </cell>
          <cell r="I197">
            <v>2.7057910881759302E-4</v>
          </cell>
        </row>
        <row r="198">
          <cell r="A198" t="str">
            <v>T_B_c-HYBDSL-S1</v>
          </cell>
          <cell r="B198" t="str">
            <v>VAR_cap</v>
          </cell>
          <cell r="C198" t="str">
            <v>-</v>
          </cell>
          <cell r="E198">
            <v>1.5157267731124901E-5</v>
          </cell>
          <cell r="F198">
            <v>1.8028397088411605E-5</v>
          </cell>
          <cell r="G198">
            <v>4.5597525301172E-6</v>
          </cell>
          <cell r="H198">
            <v>2.7210652146646651E-4</v>
          </cell>
          <cell r="I198">
            <v>2.7227490460655798E-4</v>
          </cell>
        </row>
        <row r="199">
          <cell r="A199" t="str">
            <v>T_C-MHY-DSL-S4</v>
          </cell>
          <cell r="B199" t="str">
            <v>VAR_fout</v>
          </cell>
          <cell r="C199" t="str">
            <v>CO2_T</v>
          </cell>
          <cell r="E199">
            <v>5.9714096712063999E-2</v>
          </cell>
          <cell r="F199">
            <v>0.13126159762881662</v>
          </cell>
          <cell r="G199">
            <v>0.1847434177493629</v>
          </cell>
          <cell r="H199">
            <v>4.8541921570885223E-2</v>
          </cell>
          <cell r="I199">
            <v>5.9204466713130705E-3</v>
          </cell>
        </row>
        <row r="200">
          <cell r="A200" t="str">
            <v>T_C-MHY-DSL-S4</v>
          </cell>
          <cell r="B200" t="str">
            <v>VAR_fout</v>
          </cell>
          <cell r="C200" t="str">
            <v>TPCAR</v>
          </cell>
          <cell r="E200">
            <v>3.2540031173479314E-4</v>
          </cell>
          <cell r="F200">
            <v>7.3930488400563571E-4</v>
          </cell>
          <cell r="G200">
            <v>1.0870553830070089E-3</v>
          </cell>
          <cell r="H200">
            <v>3.1674771954320891E-4</v>
          </cell>
          <cell r="I200">
            <v>4.2408044972601257E-5</v>
          </cell>
        </row>
        <row r="201">
          <cell r="A201" t="str">
            <v>T_C-MHY-DSL-S4</v>
          </cell>
          <cell r="B201" t="str">
            <v>VAR_fin</v>
          </cell>
          <cell r="C201" t="str">
            <v>TDSL</v>
          </cell>
          <cell r="E201">
            <v>8.1465343399814432E-4</v>
          </cell>
          <cell r="F201">
            <v>1.7907448516891768E-3</v>
          </cell>
          <cell r="G201">
            <v>2.5203740484224112E-3</v>
          </cell>
          <cell r="H201">
            <v>6.6223631065327553E-4</v>
          </cell>
          <cell r="I201">
            <v>8.0770077371256009E-5</v>
          </cell>
        </row>
        <row r="202">
          <cell r="A202" t="str">
            <v>T_C-MHY-DSL-S4</v>
          </cell>
          <cell r="B202" t="str">
            <v>VAR_ncap</v>
          </cell>
          <cell r="C202" t="str">
            <v>-</v>
          </cell>
          <cell r="E202">
            <v>2.7775529008976599E-5</v>
          </cell>
          <cell r="F202">
            <v>3.9534313827126603E-5</v>
          </cell>
          <cell r="G202">
            <v>3.9905194190216003E-5</v>
          </cell>
          <cell r="H202">
            <v>3.7578404695767299E-6</v>
          </cell>
        </row>
        <row r="203">
          <cell r="A203" t="str">
            <v>T_C-MHY-DSL-S4</v>
          </cell>
          <cell r="B203" t="str">
            <v>VAR_cap</v>
          </cell>
          <cell r="C203" t="str">
            <v>-</v>
          </cell>
          <cell r="E203">
            <v>2.7405749199453401E-5</v>
          </cell>
          <cell r="F203">
            <v>6.4845067765507297E-5</v>
          </cell>
          <cell r="G203">
            <v>9.2872228464753803E-5</v>
          </cell>
          <cell r="H203">
            <v>3.14861998648672E-5</v>
          </cell>
          <cell r="I203">
            <v>4.6240935152430296E-6</v>
          </cell>
        </row>
        <row r="204">
          <cell r="A204" t="str">
            <v>T_B_c-HYBDSL-S2</v>
          </cell>
          <cell r="B204" t="str">
            <v>VAR_fout</v>
          </cell>
          <cell r="C204" t="str">
            <v>CO2_T</v>
          </cell>
          <cell r="E204">
            <v>4.9942387992397801E-2</v>
          </cell>
          <cell r="F204">
            <v>1.526011613814884</v>
          </cell>
          <cell r="G204">
            <v>1.6899095168863443</v>
          </cell>
          <cell r="H204">
            <v>0.12130501159791039</v>
          </cell>
          <cell r="I204">
            <v>8.1205370002420101E-3</v>
          </cell>
        </row>
        <row r="205">
          <cell r="A205" t="str">
            <v>T_B_c-HYBDSL-S2</v>
          </cell>
          <cell r="B205" t="str">
            <v>VAR_fout</v>
          </cell>
          <cell r="C205" t="str">
            <v>TPBSc</v>
          </cell>
          <cell r="E205">
            <v>7.9372241042841149E-5</v>
          </cell>
          <cell r="F205">
            <v>2.5431968851491885E-3</v>
          </cell>
          <cell r="G205">
            <v>2.8395907652078852E-3</v>
          </cell>
          <cell r="H205">
            <v>2.3067306595752146E-4</v>
          </cell>
          <cell r="I205">
            <v>1.6464209416411174E-5</v>
          </cell>
        </row>
        <row r="206">
          <cell r="A206" t="str">
            <v>T_B_c-HYBDSL-S2</v>
          </cell>
          <cell r="B206" t="str">
            <v>VAR_fin</v>
          </cell>
          <cell r="C206" t="str">
            <v>TDSL</v>
          </cell>
          <cell r="E206">
            <v>6.8134226456204299E-4</v>
          </cell>
          <cell r="F206">
            <v>2.0818712330353099E-2</v>
          </cell>
          <cell r="G206">
            <v>2.3054700093947382E-2</v>
          </cell>
          <cell r="H206">
            <v>1.6549114815540297E-3</v>
          </cell>
          <cell r="I206">
            <v>1.1078495225432474E-4</v>
          </cell>
        </row>
        <row r="207">
          <cell r="A207" t="str">
            <v>T_B_c-HYBDSL-S2</v>
          </cell>
          <cell r="B207" t="str">
            <v>VAR_ncap</v>
          </cell>
          <cell r="C207" t="str">
            <v>-</v>
          </cell>
          <cell r="E207">
            <v>1.8634098781258899E-6</v>
          </cell>
          <cell r="F207">
            <v>5.3622008629135901E-5</v>
          </cell>
          <cell r="G207">
            <v>6.6008237911498698E-6</v>
          </cell>
          <cell r="H207">
            <v>1.2451967594375799E-6</v>
          </cell>
          <cell r="I207">
            <v>1.8105229261709799E-7</v>
          </cell>
        </row>
        <row r="208">
          <cell r="A208" t="str">
            <v>T_B_c-HYBDSL-S2</v>
          </cell>
          <cell r="B208" t="str">
            <v>VAR_cap</v>
          </cell>
          <cell r="C208" t="str">
            <v>-</v>
          </cell>
          <cell r="E208">
            <v>1.8634098781258899E-6</v>
          </cell>
          <cell r="F208">
            <v>5.5475406331827519E-5</v>
          </cell>
          <cell r="G208">
            <v>6.1811100340738778E-5</v>
          </cell>
          <cell r="H208">
            <v>4.8814702262433085E-6</v>
          </cell>
          <cell r="I208">
            <v>5.0009958846923293E-7</v>
          </cell>
        </row>
        <row r="209">
          <cell r="A209" t="str">
            <v>T_C-BATELCEXT</v>
          </cell>
          <cell r="B209" t="str">
            <v>VAR_fout</v>
          </cell>
          <cell r="C209" t="str">
            <v>TPCAR</v>
          </cell>
          <cell r="D209">
            <v>0.41618842676330253</v>
          </cell>
          <cell r="E209">
            <v>0.17542214997261654</v>
          </cell>
          <cell r="F209">
            <v>0.27746216620743352</v>
          </cell>
          <cell r="G209">
            <v>0.13873133503145921</v>
          </cell>
        </row>
        <row r="210">
          <cell r="A210" t="str">
            <v>T_C-BATELCEXT</v>
          </cell>
          <cell r="B210" t="str">
            <v>VAR_fin</v>
          </cell>
          <cell r="C210" t="str">
            <v>T-ELC-car</v>
          </cell>
          <cell r="D210">
            <v>0.46788399642036477</v>
          </cell>
          <cell r="E210">
            <v>0.1833146964672844</v>
          </cell>
          <cell r="F210">
            <v>0.262227921647184</v>
          </cell>
          <cell r="G210">
            <v>0.1130950718345331</v>
          </cell>
        </row>
        <row r="211">
          <cell r="A211" t="str">
            <v>T_C-BATELCEXT</v>
          </cell>
          <cell r="B211" t="str">
            <v>VAR_cap</v>
          </cell>
          <cell r="C211" t="str">
            <v>-</v>
          </cell>
          <cell r="D211">
            <v>4.2040000000000001E-2</v>
          </cell>
          <cell r="E211">
            <v>3.6434666666666699E-2</v>
          </cell>
          <cell r="F211">
            <v>2.8026629783153394E-2</v>
          </cell>
          <cell r="G211">
            <v>1.4013312000685922E-2</v>
          </cell>
        </row>
        <row r="212">
          <cell r="A212" t="str">
            <v>D-TDSL</v>
          </cell>
          <cell r="B212" t="str">
            <v>VAR_fout</v>
          </cell>
          <cell r="C212" t="str">
            <v>CO2</v>
          </cell>
          <cell r="D212">
            <v>8820.2596000822905</v>
          </cell>
          <cell r="E212">
            <v>8259.8875707567695</v>
          </cell>
          <cell r="F212">
            <v>7143.3732555658898</v>
          </cell>
          <cell r="G212">
            <v>5314.6582970528598</v>
          </cell>
          <cell r="H212">
            <v>1949.66647475025</v>
          </cell>
          <cell r="I212">
            <v>239.91443410640301</v>
          </cell>
        </row>
        <row r="213">
          <cell r="A213" t="str">
            <v>D-TDSL</v>
          </cell>
          <cell r="B213" t="str">
            <v>VAR_fout</v>
          </cell>
          <cell r="C213" t="str">
            <v>TDSL</v>
          </cell>
          <cell r="D213">
            <v>118.56256672926865</v>
          </cell>
          <cell r="E213">
            <v>111.03000542920201</v>
          </cell>
          <cell r="F213">
            <v>96.021739346220841</v>
          </cell>
          <cell r="G213">
            <v>71.440020765569301</v>
          </cell>
          <cell r="H213">
            <v>26.207557599578799</v>
          </cell>
          <cell r="I213">
            <v>3.2249471549329161</v>
          </cell>
        </row>
        <row r="214">
          <cell r="A214" t="str">
            <v>D-TDSL</v>
          </cell>
          <cell r="B214" t="str">
            <v>VAR_fin</v>
          </cell>
          <cell r="C214" t="str">
            <v>DSL</v>
          </cell>
          <cell r="D214">
            <v>120.33096316619769</v>
          </cell>
          <cell r="E214">
            <v>112.68605144279373</v>
          </cell>
          <cell r="F214">
            <v>97.453932545237222</v>
          </cell>
          <cell r="G214">
            <v>72.505570219002138</v>
          </cell>
          <cell r="H214">
            <v>26.598451224423567</v>
          </cell>
          <cell r="I214">
            <v>3.2730482142756201</v>
          </cell>
        </row>
        <row r="215">
          <cell r="A215" t="str">
            <v>T_B_c-HYBDSL-S3</v>
          </cell>
          <cell r="B215" t="str">
            <v>VAR_fout</v>
          </cell>
          <cell r="C215" t="str">
            <v>CO2_T</v>
          </cell>
          <cell r="E215">
            <v>3.5135662411785597E-2</v>
          </cell>
          <cell r="F215">
            <v>0.70426172914535068</v>
          </cell>
          <cell r="G215">
            <v>9.9398553142663406</v>
          </cell>
          <cell r="H215">
            <v>7.5963952696900303E-2</v>
          </cell>
          <cell r="I215">
            <v>2.255864360749097E-3</v>
          </cell>
        </row>
        <row r="216">
          <cell r="A216" t="str">
            <v>T_B_c-HYBDSL-S3</v>
          </cell>
          <cell r="B216" t="str">
            <v>VAR_fout</v>
          </cell>
          <cell r="C216" t="str">
            <v>TPBSc</v>
          </cell>
          <cell r="E216">
            <v>3.750160500541763E-5</v>
          </cell>
          <cell r="F216">
            <v>7.8784765510639745E-4</v>
          </cell>
          <cell r="G216">
            <v>1.1980112640388811E-2</v>
          </cell>
          <cell r="H216">
            <v>9.8276539201680056E-5</v>
          </cell>
          <cell r="I216">
            <v>3.1534482248888452E-6</v>
          </cell>
        </row>
        <row r="217">
          <cell r="A217" t="str">
            <v>T_B_c-HYBDSL-S3</v>
          </cell>
          <cell r="B217" t="str">
            <v>VAR_fin</v>
          </cell>
          <cell r="C217" t="str">
            <v>TDSL</v>
          </cell>
          <cell r="E217">
            <v>4.7934055132040402E-4</v>
          </cell>
          <cell r="F217">
            <v>9.6079362775627706E-3</v>
          </cell>
          <cell r="G217">
            <v>0.13560512024919985</v>
          </cell>
          <cell r="H217">
            <v>1.036343147297412E-3</v>
          </cell>
          <cell r="I217">
            <v>3.0775775726454205E-5</v>
          </cell>
        </row>
        <row r="218">
          <cell r="A218" t="str">
            <v>T_B_c-HYBDSL-S3</v>
          </cell>
          <cell r="B218" t="str">
            <v>VAR_ncap</v>
          </cell>
          <cell r="C218" t="str">
            <v>-</v>
          </cell>
          <cell r="E218">
            <v>8.8666523906457104E-7</v>
          </cell>
          <cell r="F218">
            <v>1.63587461655778E-5</v>
          </cell>
          <cell r="G218">
            <v>2.4352882146516899E-4</v>
          </cell>
          <cell r="H218">
            <v>4.7293366225179403E-7</v>
          </cell>
          <cell r="I218">
            <v>6.6484996461530599E-8</v>
          </cell>
        </row>
        <row r="219">
          <cell r="A219" t="str">
            <v>T_B_c-HYBDSL-S3</v>
          </cell>
          <cell r="B219" t="str">
            <v>VAR_cap</v>
          </cell>
          <cell r="C219" t="str">
            <v>-</v>
          </cell>
          <cell r="E219">
            <v>8.8666523906457104E-7</v>
          </cell>
          <cell r="F219">
            <v>1.72454114046424E-5</v>
          </cell>
          <cell r="G219">
            <v>2.6041291123877998E-4</v>
          </cell>
          <cell r="H219">
            <v>2.1344481416813468E-6</v>
          </cell>
          <cell r="I219">
            <v>1.424551770104483E-7</v>
          </cell>
        </row>
        <row r="220">
          <cell r="A220" t="str">
            <v>T-Bat-Car-STG_S1</v>
          </cell>
          <cell r="B220" t="str">
            <v>VAR_fout</v>
          </cell>
          <cell r="C220" t="str">
            <v>T-ELC-car-BatSTGAUXout_S1</v>
          </cell>
          <cell r="D220">
            <v>8.1523510640130487E-3</v>
          </cell>
          <cell r="E220">
            <v>2.1142385243216256E-2</v>
          </cell>
          <cell r="F220">
            <v>2.6021808940228021E-2</v>
          </cell>
          <cell r="G220">
            <v>7.0804243701677788E-2</v>
          </cell>
          <cell r="H220">
            <v>3.2333768198411703E-2</v>
          </cell>
          <cell r="I220">
            <v>1.453707612269532</v>
          </cell>
        </row>
        <row r="221">
          <cell r="A221" t="str">
            <v>T-Bat-Car-STG_S1</v>
          </cell>
          <cell r="B221" t="str">
            <v>VAR_fout</v>
          </cell>
          <cell r="C221" t="str">
            <v>T-ELC-car-BatSTGOut_S1</v>
          </cell>
          <cell r="D221">
            <v>8.152351064013047E-3</v>
          </cell>
          <cell r="E221">
            <v>2.1142385243216249E-2</v>
          </cell>
          <cell r="F221">
            <v>2.6021808940228021E-2</v>
          </cell>
          <cell r="G221">
            <v>7.0804243701677774E-2</v>
          </cell>
          <cell r="H221">
            <v>3.2333768198411703E-2</v>
          </cell>
          <cell r="I221">
            <v>1.4537076122695318</v>
          </cell>
        </row>
        <row r="222">
          <cell r="A222" t="str">
            <v>T-Bat-Car-STG_S1</v>
          </cell>
          <cell r="B222" t="str">
            <v>VAR_fin</v>
          </cell>
          <cell r="C222" t="str">
            <v>T-ELC-car-BatSTGAUXin_S1</v>
          </cell>
          <cell r="D222">
            <v>8.1573717851191642E-3</v>
          </cell>
          <cell r="E222">
            <v>2.116481342301911E-2</v>
          </cell>
          <cell r="F222">
            <v>2.6091848533105529E-2</v>
          </cell>
          <cell r="G222">
            <v>7.0864259372625582E-2</v>
          </cell>
          <cell r="H222">
            <v>3.2376410735939373E-2</v>
          </cell>
          <cell r="I222">
            <v>1.4538883022628006</v>
          </cell>
        </row>
        <row r="223">
          <cell r="A223" t="str">
            <v>T-Bat-Car-STG_S1</v>
          </cell>
          <cell r="B223" t="str">
            <v>VAR_fin</v>
          </cell>
          <cell r="C223" t="str">
            <v>T-ELC-car-BatSTGin_S1</v>
          </cell>
          <cell r="D223">
            <v>8.1573717851191642E-3</v>
          </cell>
          <cell r="E223">
            <v>2.116481342301911E-2</v>
          </cell>
          <cell r="F223">
            <v>2.6091848533105529E-2</v>
          </cell>
          <cell r="G223">
            <v>7.0864259372625582E-2</v>
          </cell>
          <cell r="H223">
            <v>3.2376410735939373E-2</v>
          </cell>
          <cell r="I223">
            <v>1.4538883022628006</v>
          </cell>
        </row>
        <row r="224">
          <cell r="A224" t="str">
            <v>T-Bat-Car-STG_S1</v>
          </cell>
          <cell r="B224" t="str">
            <v>VAR_ncap</v>
          </cell>
          <cell r="C224" t="str">
            <v>-</v>
          </cell>
          <cell r="D224">
            <v>1.3326092310361999E-2</v>
          </cell>
          <cell r="E224">
            <v>0.27815922595499298</v>
          </cell>
          <cell r="F224">
            <v>0.12995821952253001</v>
          </cell>
          <cell r="G224">
            <v>3.1190872256090199E-2</v>
          </cell>
          <cell r="H224">
            <v>3.7672953406877298E-2</v>
          </cell>
          <cell r="I224">
            <v>29.645893296135501</v>
          </cell>
        </row>
        <row r="225">
          <cell r="A225" t="str">
            <v>T-Bat-Car-STG_S1</v>
          </cell>
          <cell r="B225" t="str">
            <v>VAR_cap</v>
          </cell>
          <cell r="C225" t="str">
            <v>-</v>
          </cell>
          <cell r="D225">
            <v>1.3326092310361999E-2</v>
          </cell>
          <cell r="E225">
            <v>0.28739306162621636</v>
          </cell>
          <cell r="F225">
            <v>0.3988678028871982</v>
          </cell>
          <cell r="G225">
            <v>0.35896219130060553</v>
          </cell>
          <cell r="H225">
            <v>7.5942866436559717E-2</v>
          </cell>
          <cell r="I225">
            <v>25.325833542212322</v>
          </cell>
        </row>
        <row r="226">
          <cell r="A226" t="str">
            <v>T_B_c-HYBDSL-S4</v>
          </cell>
          <cell r="B226" t="str">
            <v>VAR_fout</v>
          </cell>
          <cell r="C226" t="str">
            <v>CO2_T</v>
          </cell>
          <cell r="E226">
            <v>8.0556286094931595E-3</v>
          </cell>
          <cell r="F226">
            <v>1.480767717728638E-2</v>
          </cell>
          <cell r="G226">
            <v>1.085496787877015E-2</v>
          </cell>
          <cell r="H226">
            <v>4.26838344301905E-3</v>
          </cell>
        </row>
        <row r="227">
          <cell r="A227" t="str">
            <v>T_B_c-HYBDSL-S4</v>
          </cell>
          <cell r="B227" t="str">
            <v>VAR_fout</v>
          </cell>
          <cell r="C227" t="str">
            <v>TPBSc</v>
          </cell>
          <cell r="E227">
            <v>5.797353450075231E-6</v>
          </cell>
          <cell r="F227">
            <v>1.088785278576751E-5</v>
          </cell>
          <cell r="G227">
            <v>8.4378807518304839E-6</v>
          </cell>
          <cell r="H227">
            <v>3.7910122547034079E-6</v>
          </cell>
        </row>
        <row r="228">
          <cell r="A228" t="str">
            <v>T_B_c-HYBDSL-S4</v>
          </cell>
          <cell r="B228" t="str">
            <v>VAR_fin</v>
          </cell>
          <cell r="C228" t="str">
            <v>TDSL</v>
          </cell>
          <cell r="E228">
            <v>1.0989943532732817E-4</v>
          </cell>
          <cell r="F228">
            <v>2.0201469546093318E-4</v>
          </cell>
          <cell r="G228">
            <v>1.4808960271173473E-4</v>
          </cell>
          <cell r="H228">
            <v>5.8231697721951577E-5</v>
          </cell>
        </row>
        <row r="229">
          <cell r="A229" t="str">
            <v>T_B_c-HYBDSL-S4</v>
          </cell>
          <cell r="B229" t="str">
            <v>VAR_ncap</v>
          </cell>
          <cell r="C229" t="str">
            <v>-</v>
          </cell>
          <cell r="E229">
            <v>1.4361854256461299E-7</v>
          </cell>
          <cell r="F229">
            <v>1.13463850864942E-7</v>
          </cell>
          <cell r="G229">
            <v>9.4093363278125995E-8</v>
          </cell>
        </row>
        <row r="230">
          <cell r="A230" t="str">
            <v>T_B_c-HYBDSL-S4</v>
          </cell>
          <cell r="B230" t="str">
            <v>VAR_cap</v>
          </cell>
          <cell r="C230" t="str">
            <v>-</v>
          </cell>
          <cell r="E230">
            <v>1.4361854256461299E-7</v>
          </cell>
          <cell r="F230">
            <v>2.5708239342955499E-7</v>
          </cell>
          <cell r="G230">
            <v>2.2071141079616801E-7</v>
          </cell>
          <cell r="H230">
            <v>1.9343637196817407E-8</v>
          </cell>
        </row>
        <row r="231">
          <cell r="A231" t="str">
            <v>TFHGV-ICEDSLExt</v>
          </cell>
          <cell r="B231" t="str">
            <v>VAR_fout</v>
          </cell>
          <cell r="C231" t="str">
            <v>CO2_T</v>
          </cell>
          <cell r="D231">
            <v>1407.48517664784</v>
          </cell>
          <cell r="E231">
            <v>1140.9617705349999</v>
          </cell>
          <cell r="F231">
            <v>841.44885145890396</v>
          </cell>
          <cell r="G231">
            <v>363.01349412601201</v>
          </cell>
        </row>
        <row r="232">
          <cell r="A232" t="str">
            <v>TFHGV-ICEDSLExt</v>
          </cell>
          <cell r="B232" t="str">
            <v>VAR_fout</v>
          </cell>
          <cell r="C232" t="str">
            <v>TFHGV</v>
          </cell>
          <cell r="D232">
            <v>1.5736502627064746</v>
          </cell>
          <cell r="E232">
            <v>1.3074551866613175</v>
          </cell>
          <cell r="F232">
            <v>0.99940744053843067</v>
          </cell>
          <cell r="G232">
            <v>0.43115916839909008</v>
          </cell>
        </row>
        <row r="233">
          <cell r="A233" t="str">
            <v>TFHGV-ICEDSLExt</v>
          </cell>
          <cell r="B233" t="str">
            <v>VAR_fin</v>
          </cell>
          <cell r="C233" t="str">
            <v>TDSL</v>
          </cell>
          <cell r="D233">
            <v>19.20170773052989</v>
          </cell>
          <cell r="E233">
            <v>15.565644891336976</v>
          </cell>
          <cell r="F233">
            <v>11.479520483750404</v>
          </cell>
          <cell r="G233">
            <v>4.9524351176809303</v>
          </cell>
        </row>
        <row r="234">
          <cell r="A234" t="str">
            <v>TFHGV-ICEDSLExt</v>
          </cell>
          <cell r="B234" t="str">
            <v>VAR_cap</v>
          </cell>
          <cell r="C234" t="str">
            <v>-</v>
          </cell>
          <cell r="D234">
            <v>2.9662000000000001E-2</v>
          </cell>
          <cell r="E234">
            <v>2.5707066666666702E-2</v>
          </cell>
          <cell r="F234">
            <v>1.9774666666666701E-2</v>
          </cell>
          <cell r="G234">
            <v>9.8873333333333296E-3</v>
          </cell>
        </row>
        <row r="235">
          <cell r="A235" t="str">
            <v>TPSHPGSLEXT</v>
          </cell>
          <cell r="B235" t="str">
            <v>VAR_fout</v>
          </cell>
          <cell r="C235" t="str">
            <v>TPSHP</v>
          </cell>
          <cell r="D235">
            <v>1.5951113482171899</v>
          </cell>
          <cell r="E235">
            <v>1.0057726071149999</v>
          </cell>
          <cell r="F235">
            <v>7.2683594493885297E-4</v>
          </cell>
          <cell r="G235">
            <v>4.3210956303504699E-4</v>
          </cell>
          <cell r="H235">
            <v>3.7552462864616102E-4</v>
          </cell>
        </row>
        <row r="236">
          <cell r="A236" t="str">
            <v>TPSHPGSLEXT</v>
          </cell>
          <cell r="B236" t="str">
            <v>VAR_fout</v>
          </cell>
          <cell r="C236" t="str">
            <v>CO2_T</v>
          </cell>
          <cell r="D236">
            <v>129.873812963153</v>
          </cell>
          <cell r="E236">
            <v>81.889909194057594</v>
          </cell>
          <cell r="F236">
            <v>5.9178912916260998E-2</v>
          </cell>
          <cell r="G236">
            <v>3.5182319172844499E-2</v>
          </cell>
          <cell r="H236">
            <v>3.0575179242727301E-2</v>
          </cell>
        </row>
        <row r="237">
          <cell r="A237" t="str">
            <v>TPSHPGSLEXT</v>
          </cell>
          <cell r="B237" t="str">
            <v>VAR_fin</v>
          </cell>
          <cell r="C237" t="str">
            <v>TGSL</v>
          </cell>
          <cell r="D237">
            <v>1.759807763728358</v>
          </cell>
          <cell r="E237">
            <v>1.1096193657731381</v>
          </cell>
          <cell r="F237">
            <v>8.0188228883822945E-4</v>
          </cell>
          <cell r="G237">
            <v>4.7672519204396076E-4</v>
          </cell>
          <cell r="H237">
            <v>4.1429782171717341E-4</v>
          </cell>
        </row>
        <row r="238">
          <cell r="A238" t="str">
            <v>TPSHPGSLEXT</v>
          </cell>
          <cell r="B238" t="str">
            <v>VAR_ncap</v>
          </cell>
          <cell r="C238" t="str">
            <v>-</v>
          </cell>
          <cell r="D238">
            <v>3.54583763726532E-6</v>
          </cell>
          <cell r="E238">
            <v>5.8913572783249704E-6</v>
          </cell>
          <cell r="F238">
            <v>3.3441760035090901E-6</v>
          </cell>
          <cell r="G238">
            <v>3.1097676509177399E-6</v>
          </cell>
          <cell r="H238">
            <v>6.2022736247226901E-6</v>
          </cell>
          <cell r="I238">
            <v>5.8938782571955399E-6</v>
          </cell>
        </row>
        <row r="239">
          <cell r="A239" t="str">
            <v>TPSHPGSLEXT</v>
          </cell>
          <cell r="B239" t="str">
            <v>VAR_cap</v>
          </cell>
          <cell r="C239" t="str">
            <v>-</v>
          </cell>
          <cell r="D239">
            <v>1.5951148940548272</v>
          </cell>
          <cell r="E239">
            <v>1.5951207854121054</v>
          </cell>
          <cell r="F239">
            <v>7.4253296165904814E-4</v>
          </cell>
          <cell r="G239">
            <v>4.1844997112994164E-4</v>
          </cell>
          <cell r="H239">
            <v>-2.9154010889431703E-5</v>
          </cell>
          <cell r="I239">
            <v>-1.5203334790172198E-5</v>
          </cell>
        </row>
        <row r="240">
          <cell r="A240" t="str">
            <v>T-Bat-Car-STG_S2</v>
          </cell>
          <cell r="B240" t="str">
            <v>VAR_fout</v>
          </cell>
          <cell r="C240" t="str">
            <v>T-ELC-car-BatSTGAUXout_S2</v>
          </cell>
          <cell r="D240">
            <v>6.6200036023657094E-2</v>
          </cell>
          <cell r="E240">
            <v>0.10452958291601853</v>
          </cell>
          <cell r="F240">
            <v>0.12918453630754265</v>
          </cell>
          <cell r="G240">
            <v>0.14416445205295092</v>
          </cell>
          <cell r="H240">
            <v>9.5051554084742129</v>
          </cell>
          <cell r="I240">
            <v>10.717344224949832</v>
          </cell>
        </row>
        <row r="241">
          <cell r="A241" t="str">
            <v>T-Bat-Car-STG_S2</v>
          </cell>
          <cell r="B241" t="str">
            <v>VAR_fout</v>
          </cell>
          <cell r="C241" t="str">
            <v>T-ELC-car-BatSTGOut_S2</v>
          </cell>
          <cell r="D241">
            <v>6.620003602365708E-2</v>
          </cell>
          <cell r="E241">
            <v>0.10452958291601851</v>
          </cell>
          <cell r="F241">
            <v>0.12918453630754262</v>
          </cell>
          <cell r="G241">
            <v>0.14416445205295092</v>
          </cell>
          <cell r="H241">
            <v>9.5051554084742094</v>
          </cell>
          <cell r="I241">
            <v>10.717344224949832</v>
          </cell>
        </row>
        <row r="242">
          <cell r="A242" t="str">
            <v>T-Bat-Car-STG_S2</v>
          </cell>
          <cell r="B242" t="str">
            <v>VAR_fin</v>
          </cell>
          <cell r="C242" t="str">
            <v>T-ELC-car-BatSTGAUXin_S2</v>
          </cell>
          <cell r="D242">
            <v>6.6211374944428969E-2</v>
          </cell>
          <cell r="E242">
            <v>0.10455047074426112</v>
          </cell>
          <cell r="F242">
            <v>0.12925026973650028</v>
          </cell>
          <cell r="G242">
            <v>0.14421295108113921</v>
          </cell>
          <cell r="H242">
            <v>9.5061472723855118</v>
          </cell>
          <cell r="I242">
            <v>10.718447412527336</v>
          </cell>
        </row>
        <row r="243">
          <cell r="A243" t="str">
            <v>T-Bat-Car-STG_S2</v>
          </cell>
          <cell r="B243" t="str">
            <v>VAR_fin</v>
          </cell>
          <cell r="C243" t="str">
            <v>T-ELC-car-BatSTGin_S2</v>
          </cell>
          <cell r="D243">
            <v>6.6211374944428969E-2</v>
          </cell>
          <cell r="E243">
            <v>0.10455047074426112</v>
          </cell>
          <cell r="F243">
            <v>0.12925026973650028</v>
          </cell>
          <cell r="G243">
            <v>0.14421295108113921</v>
          </cell>
          <cell r="H243">
            <v>9.5061472723855118</v>
          </cell>
          <cell r="I243">
            <v>10.718447412527336</v>
          </cell>
        </row>
        <row r="244">
          <cell r="A244" t="str">
            <v>T-Bat-Car-STG_S2</v>
          </cell>
          <cell r="B244" t="str">
            <v>VAR_ncap</v>
          </cell>
          <cell r="C244" t="str">
            <v>-</v>
          </cell>
          <cell r="D244">
            <v>1.3952536783107801E-2</v>
          </cell>
          <cell r="E244">
            <v>6.1502667382411801E-2</v>
          </cell>
          <cell r="F244">
            <v>0.44181068274066299</v>
          </cell>
          <cell r="G244">
            <v>0.22516577027935</v>
          </cell>
          <cell r="H244">
            <v>79.9885175524023</v>
          </cell>
          <cell r="I244">
            <v>184.78391586185501</v>
          </cell>
        </row>
        <row r="245">
          <cell r="A245" t="str">
            <v>T-Bat-Car-STG_S2</v>
          </cell>
          <cell r="B245" t="str">
            <v>VAR_cap</v>
          </cell>
          <cell r="C245" t="str">
            <v>-</v>
          </cell>
          <cell r="D245">
            <v>1.3952536783107801E-2</v>
          </cell>
          <cell r="E245">
            <v>7.4231476927368048E-2</v>
          </cell>
          <cell r="F245">
            <v>0.50572280592761043</v>
          </cell>
          <cell r="G245">
            <v>0.6522107594335661</v>
          </cell>
          <cell r="H245">
            <v>202.57275442633176</v>
          </cell>
          <cell r="I245">
            <v>234.60202388765993</v>
          </cell>
        </row>
        <row r="246">
          <cell r="A246" t="str">
            <v>T_TW-ICEGSL-S1</v>
          </cell>
          <cell r="B246" t="str">
            <v>VAR_fout</v>
          </cell>
          <cell r="C246" t="str">
            <v>CO2_T</v>
          </cell>
          <cell r="D246">
            <v>3.2601628808562602</v>
          </cell>
          <cell r="E246">
            <v>12.763667262865278</v>
          </cell>
          <cell r="F246">
            <v>25.287646787944652</v>
          </cell>
          <cell r="G246">
            <v>44.961171797340612</v>
          </cell>
          <cell r="H246">
            <v>0.54966995918660511</v>
          </cell>
          <cell r="I246">
            <v>5.1116604586034699E-3</v>
          </cell>
        </row>
        <row r="247">
          <cell r="A247" t="str">
            <v>T_TW-ICEGSL-S1</v>
          </cell>
          <cell r="B247" t="str">
            <v>VAR_fout</v>
          </cell>
          <cell r="C247" t="str">
            <v>TPTWL</v>
          </cell>
          <cell r="D247">
            <v>8.4281997325745386E-2</v>
          </cell>
          <cell r="E247">
            <v>0.3322147172277255</v>
          </cell>
          <cell r="F247">
            <v>0.66357676304874724</v>
          </cell>
          <cell r="G247">
            <v>1.201455803366297</v>
          </cell>
          <cell r="H247">
            <v>1.4896555129675962E-2</v>
          </cell>
          <cell r="I247">
            <v>1.4537879507223514E-4</v>
          </cell>
        </row>
        <row r="248">
          <cell r="A248" t="str">
            <v>T_TW-ICEGSL-S1</v>
          </cell>
          <cell r="B248" t="str">
            <v>VAR_fin</v>
          </cell>
          <cell r="C248" t="str">
            <v>TGSL</v>
          </cell>
          <cell r="D248">
            <v>4.4175648792090259E-2</v>
          </cell>
          <cell r="E248">
            <v>0.17294942090603352</v>
          </cell>
          <cell r="F248">
            <v>0.34265104048705514</v>
          </cell>
          <cell r="G248">
            <v>0.60922997015366687</v>
          </cell>
          <cell r="H248">
            <v>7.4481024280027997E-3</v>
          </cell>
          <cell r="I248">
            <v>6.9263691850995456E-5</v>
          </cell>
        </row>
        <row r="249">
          <cell r="A249" t="str">
            <v>T_TW-ICEGSL-S1</v>
          </cell>
          <cell r="B249" t="str">
            <v>VAR_ncap</v>
          </cell>
          <cell r="C249" t="str">
            <v>-</v>
          </cell>
          <cell r="E249">
            <v>8.1386261429278697E-2</v>
          </cell>
          <cell r="F249">
            <v>0.11415937910271901</v>
          </cell>
          <cell r="G249">
            <v>0.23501107457317</v>
          </cell>
          <cell r="H249">
            <v>6.8819591523763897E-5</v>
          </cell>
          <cell r="I249">
            <v>1.5539881005191399E-5</v>
          </cell>
        </row>
        <row r="250">
          <cell r="A250" t="str">
            <v>T_TW-ICEGSL-S1</v>
          </cell>
          <cell r="B250" t="str">
            <v>VAR_cap</v>
          </cell>
          <cell r="C250" t="str">
            <v>-</v>
          </cell>
          <cell r="D250">
            <v>2.9121145030168522E-2</v>
          </cell>
          <cell r="E250">
            <v>0.11435552427942838</v>
          </cell>
          <cell r="F250">
            <v>0.22851527515057546</v>
          </cell>
          <cell r="G250">
            <v>0.43761960274684708</v>
          </cell>
          <cell r="H250">
            <v>7.1197517808625002E-3</v>
          </cell>
          <cell r="I250">
            <v>6.09278658901462E-5</v>
          </cell>
        </row>
        <row r="251">
          <cell r="A251" t="str">
            <v>TPSHPDSLEXT</v>
          </cell>
          <cell r="B251" t="str">
            <v>VAR_fout</v>
          </cell>
          <cell r="C251" t="str">
            <v>TPSHP</v>
          </cell>
          <cell r="D251">
            <v>17.176521919007701</v>
          </cell>
          <cell r="E251">
            <v>16.892418755588398</v>
          </cell>
          <cell r="F251">
            <v>17.024047302449599</v>
          </cell>
          <cell r="G251">
            <v>16.150529430137901</v>
          </cell>
          <cell r="H251">
            <v>16.148719383733901</v>
          </cell>
          <cell r="I251">
            <v>16.1579400427004</v>
          </cell>
        </row>
        <row r="252">
          <cell r="A252" t="str">
            <v>TPSHPDSLEXT</v>
          </cell>
          <cell r="B252" t="str">
            <v>VAR_fout</v>
          </cell>
          <cell r="C252" t="str">
            <v>CO2_T</v>
          </cell>
          <cell r="D252">
            <v>1273.9831592043399</v>
          </cell>
          <cell r="E252">
            <v>1252.91121883251</v>
          </cell>
          <cell r="F252">
            <v>1262.6741122030301</v>
          </cell>
          <cell r="G252">
            <v>1197.88526473807</v>
          </cell>
          <cell r="H252">
            <v>1197.7510135405901</v>
          </cell>
          <cell r="I252">
            <v>1198.4349100998299</v>
          </cell>
        </row>
        <row r="253">
          <cell r="A253" t="str">
            <v>TPSHPDSLEXT</v>
          </cell>
          <cell r="B253" t="str">
            <v>VAR_fin</v>
          </cell>
          <cell r="C253" t="str">
            <v>TDSL</v>
          </cell>
          <cell r="D253">
            <v>17.38039780633471</v>
          </cell>
          <cell r="E253">
            <v>17.092922494304243</v>
          </cell>
          <cell r="F253">
            <v>17.226113399768476</v>
          </cell>
          <cell r="G253">
            <v>16.342227349769008</v>
          </cell>
          <cell r="H253">
            <v>16.340395819107638</v>
          </cell>
          <cell r="I253">
            <v>16.349725922234995</v>
          </cell>
        </row>
        <row r="254">
          <cell r="A254" t="str">
            <v>TPSHPDSLEXT</v>
          </cell>
          <cell r="B254" t="str">
            <v>VAR_ncap</v>
          </cell>
          <cell r="C254" t="str">
            <v>-</v>
          </cell>
          <cell r="D254">
            <v>2.03151791042199E-6</v>
          </cell>
          <cell r="E254">
            <v>4.2467575612310802E-6</v>
          </cell>
          <cell r="F254">
            <v>1.05547170571455E-5</v>
          </cell>
          <cell r="G254">
            <v>4.4873670467367896E-6</v>
          </cell>
          <cell r="H254">
            <v>10.496615154831799</v>
          </cell>
          <cell r="I254">
            <v>5.6607383770875401</v>
          </cell>
        </row>
        <row r="255">
          <cell r="A255" t="str">
            <v>TPSHPDSLEXT</v>
          </cell>
          <cell r="B255" t="str">
            <v>VAR_cap</v>
          </cell>
          <cell r="C255" t="str">
            <v>-</v>
          </cell>
          <cell r="D255">
            <v>17.176523950525613</v>
          </cell>
          <cell r="E255">
            <v>17.176528197283172</v>
          </cell>
          <cell r="F255">
            <v>17.02404879878954</v>
          </cell>
          <cell r="G255">
            <v>16.150482821410058</v>
          </cell>
          <cell r="H255">
            <v>16.148592976528363</v>
          </cell>
          <cell r="I255">
            <v>16.157793994982946</v>
          </cell>
        </row>
        <row r="256">
          <cell r="A256" t="str">
            <v>T-Bat-Car-STG_S3</v>
          </cell>
          <cell r="B256" t="str">
            <v>VAR_fout</v>
          </cell>
          <cell r="C256" t="str">
            <v>T-ELC-car-BatSTGAUXout_S3</v>
          </cell>
          <cell r="D256">
            <v>4.5433573303671385E-2</v>
          </cell>
          <cell r="E256">
            <v>9.5514085991143999E-2</v>
          </cell>
          <cell r="F256">
            <v>0.11744317787188033</v>
          </cell>
          <cell r="G256">
            <v>3.8480499830780093</v>
          </cell>
          <cell r="H256">
            <v>7.6526251145644846</v>
          </cell>
          <cell r="I256">
            <v>9.8532302632940443</v>
          </cell>
        </row>
        <row r="257">
          <cell r="A257" t="str">
            <v>T-Bat-Car-STG_S3</v>
          </cell>
          <cell r="B257" t="str">
            <v>VAR_fout</v>
          </cell>
          <cell r="C257" t="str">
            <v>T-ELC-car-BatSTGOut_S3</v>
          </cell>
          <cell r="D257">
            <v>4.5433573303671385E-2</v>
          </cell>
          <cell r="E257">
            <v>9.5514085991143985E-2</v>
          </cell>
          <cell r="F257">
            <v>0.11744317787188033</v>
          </cell>
          <cell r="G257">
            <v>3.8480499830780093</v>
          </cell>
          <cell r="H257">
            <v>7.6526251145644828</v>
          </cell>
          <cell r="I257">
            <v>9.8532302632940425</v>
          </cell>
        </row>
        <row r="258">
          <cell r="A258" t="str">
            <v>T-Bat-Car-STG_S3</v>
          </cell>
          <cell r="B258" t="str">
            <v>VAR_fin</v>
          </cell>
          <cell r="C258" t="str">
            <v>T-ELC-car-BatSTGAUXin_S3</v>
          </cell>
          <cell r="D258">
            <v>4.5443662597611435E-2</v>
          </cell>
          <cell r="E258">
            <v>9.5534031894480717E-2</v>
          </cell>
          <cell r="F258">
            <v>0.11750749533733716</v>
          </cell>
          <cell r="G258">
            <v>3.8484681422853595</v>
          </cell>
          <cell r="H258">
            <v>7.6534317758813692</v>
          </cell>
          <cell r="I258">
            <v>9.8542469841435469</v>
          </cell>
        </row>
        <row r="259">
          <cell r="A259" t="str">
            <v>T-Bat-Car-STG_S3</v>
          </cell>
          <cell r="B259" t="str">
            <v>VAR_fin</v>
          </cell>
          <cell r="C259" t="str">
            <v>T-ELC-car-BatSTGin_S3</v>
          </cell>
          <cell r="D259">
            <v>4.5443662597611435E-2</v>
          </cell>
          <cell r="E259">
            <v>9.5534031894480717E-2</v>
          </cell>
          <cell r="F259">
            <v>0.11750749533733716</v>
          </cell>
          <cell r="G259">
            <v>3.8484681422853595</v>
          </cell>
          <cell r="H259">
            <v>7.6534317758813692</v>
          </cell>
          <cell r="I259">
            <v>9.8542469841435469</v>
          </cell>
        </row>
        <row r="260">
          <cell r="A260" t="str">
            <v>T-Bat-Car-STG_S3</v>
          </cell>
          <cell r="B260" t="str">
            <v>VAR_ncap</v>
          </cell>
          <cell r="C260" t="str">
            <v>-</v>
          </cell>
          <cell r="D260">
            <v>1.5858116603359802E-2</v>
          </cell>
          <cell r="E260">
            <v>0.42976068448458798</v>
          </cell>
          <cell r="F260">
            <v>0.38716391802553402</v>
          </cell>
          <cell r="G260">
            <v>56.802314625599102</v>
          </cell>
          <cell r="H260">
            <v>75.489542581969403</v>
          </cell>
          <cell r="I260">
            <v>139.01932925708499</v>
          </cell>
        </row>
        <row r="261">
          <cell r="A261" t="str">
            <v>T-Bat-Car-STG_S3</v>
          </cell>
          <cell r="B261" t="str">
            <v>VAR_cap</v>
          </cell>
          <cell r="C261" t="str">
            <v>-</v>
          </cell>
          <cell r="D261">
            <v>1.5858116603359802E-2</v>
          </cell>
          <cell r="E261">
            <v>0.43943629928370553</v>
          </cell>
          <cell r="F261">
            <v>0.79591348010332097</v>
          </cell>
          <cell r="G261">
            <v>54.523747868430995</v>
          </cell>
          <cell r="H261">
            <v>112.52616006969191</v>
          </cell>
          <cell r="I261">
            <v>162.08080570196822</v>
          </cell>
        </row>
        <row r="262">
          <cell r="A262" t="str">
            <v>T_TW-ICEGSL-S2</v>
          </cell>
          <cell r="B262" t="str">
            <v>VAR_fout</v>
          </cell>
          <cell r="C262" t="str">
            <v>CO2_T</v>
          </cell>
          <cell r="D262">
            <v>8.2622349807622602</v>
          </cell>
          <cell r="E262">
            <v>12.046480102508015</v>
          </cell>
          <cell r="F262">
            <v>12.046298580570346</v>
          </cell>
          <cell r="G262">
            <v>7.6487354741600315</v>
          </cell>
          <cell r="H262">
            <v>2.387960251607207E-2</v>
          </cell>
          <cell r="I262">
            <v>3.4112627768583467E-3</v>
          </cell>
        </row>
        <row r="263">
          <cell r="A263" t="str">
            <v>T_TW-ICEGSL-S2</v>
          </cell>
          <cell r="B263" t="str">
            <v>VAR_fout</v>
          </cell>
          <cell r="C263" t="str">
            <v>TPTWL</v>
          </cell>
          <cell r="D263">
            <v>0.12345917219605829</v>
          </cell>
          <cell r="E263">
            <v>0.18025900240823101</v>
          </cell>
          <cell r="F263">
            <v>0.18026951190304355</v>
          </cell>
          <cell r="G263">
            <v>0.11450533454336802</v>
          </cell>
          <cell r="H263">
            <v>3.7889818850138119E-4</v>
          </cell>
          <cell r="I263">
            <v>5.5839522672353984E-5</v>
          </cell>
        </row>
        <row r="264">
          <cell r="A264" t="str">
            <v>T_TW-ICEGSL-S2</v>
          </cell>
          <cell r="B264" t="str">
            <v>VAR_fin</v>
          </cell>
          <cell r="C264" t="str">
            <v>TGSL</v>
          </cell>
          <cell r="D264">
            <v>0.1119544035333639</v>
          </cell>
          <cell r="E264">
            <v>0.16323143770336077</v>
          </cell>
          <cell r="F264">
            <v>0.16322897805650871</v>
          </cell>
          <cell r="G264">
            <v>0.10364140208888918</v>
          </cell>
          <cell r="H264">
            <v>3.2357184981127488E-4</v>
          </cell>
          <cell r="I264">
            <v>4.6223072857159231E-5</v>
          </cell>
        </row>
        <row r="265">
          <cell r="A265" t="str">
            <v>T_TW-ICEGSL-S2</v>
          </cell>
          <cell r="B265" t="str">
            <v>VAR_ncap</v>
          </cell>
          <cell r="C265" t="str">
            <v>-</v>
          </cell>
          <cell r="E265">
            <v>2.0390702904376099E-4</v>
          </cell>
          <cell r="F265">
            <v>2.4348294050522201E-4</v>
          </cell>
          <cell r="G265">
            <v>1.5023069387224799E-4</v>
          </cell>
          <cell r="H265">
            <v>2.5073297166292399E-5</v>
          </cell>
          <cell r="I265">
            <v>5.3813685922971496E-6</v>
          </cell>
        </row>
        <row r="266">
          <cell r="A266" t="str">
            <v>T_TW-ICEGSL-S2</v>
          </cell>
          <cell r="B266" t="str">
            <v>VAR_cap</v>
          </cell>
          <cell r="C266" t="str">
            <v>-</v>
          </cell>
          <cell r="D266">
            <v>4.2719950996407574E-2</v>
          </cell>
          <cell r="E266">
            <v>6.2083372368521343E-2</v>
          </cell>
          <cell r="F266">
            <v>6.2327139524261797E-2</v>
          </cell>
          <cell r="G266">
            <v>5.4183463284231972E-2</v>
          </cell>
          <cell r="H266">
            <v>1.6014790450798644E-4</v>
          </cell>
          <cell r="I266">
            <v>2.1861434005099E-5</v>
          </cell>
        </row>
        <row r="267">
          <cell r="A267" t="str">
            <v>T-Bat-Car-STG_S4</v>
          </cell>
          <cell r="B267" t="str">
            <v>VAR_fout</v>
          </cell>
          <cell r="C267" t="str">
            <v>T-ELC-car-BatSTGAUXout_S4</v>
          </cell>
          <cell r="D267">
            <v>0.14994564460256218</v>
          </cell>
          <cell r="E267">
            <v>1.0395776218030184</v>
          </cell>
          <cell r="F267">
            <v>3.53789047235413</v>
          </cell>
          <cell r="G267">
            <v>3.834738649277837</v>
          </cell>
          <cell r="H267">
            <v>14.69514936716069</v>
          </cell>
          <cell r="I267">
            <v>15.715143854869217</v>
          </cell>
        </row>
        <row r="268">
          <cell r="A268" t="str">
            <v>T-Bat-Car-STG_S4</v>
          </cell>
          <cell r="B268" t="str">
            <v>VAR_fout</v>
          </cell>
          <cell r="C268" t="str">
            <v>T-ELC-car-BatSTGOut_S4</v>
          </cell>
          <cell r="D268">
            <v>0.14994564460256213</v>
          </cell>
          <cell r="E268">
            <v>1.0395776218030184</v>
          </cell>
          <cell r="F268">
            <v>3.53789047235413</v>
          </cell>
          <cell r="G268">
            <v>3.834738649277837</v>
          </cell>
          <cell r="H268">
            <v>14.695149367160687</v>
          </cell>
          <cell r="I268">
            <v>15.715143854869213</v>
          </cell>
        </row>
        <row r="269">
          <cell r="A269" t="str">
            <v>T-Bat-Car-STG_S4</v>
          </cell>
          <cell r="B269" t="str">
            <v>VAR_fin</v>
          </cell>
          <cell r="C269" t="str">
            <v>T-ELC-car-BatSTGAUXin_S4</v>
          </cell>
          <cell r="D269">
            <v>0.1499662981914999</v>
          </cell>
          <cell r="E269">
            <v>1.0396919835051002</v>
          </cell>
          <cell r="F269">
            <v>3.5382877441967393</v>
          </cell>
          <cell r="G269">
            <v>3.8351556383635312</v>
          </cell>
          <cell r="H269">
            <v>14.696655759377155</v>
          </cell>
          <cell r="I269">
            <v>15.716746920072071</v>
          </cell>
        </row>
        <row r="270">
          <cell r="A270" t="str">
            <v>T-Bat-Car-STG_S4</v>
          </cell>
          <cell r="B270" t="str">
            <v>VAR_fin</v>
          </cell>
          <cell r="C270" t="str">
            <v>T-ELC-car-BatSTGin_S4</v>
          </cell>
          <cell r="D270">
            <v>0.1499662981914999</v>
          </cell>
          <cell r="E270">
            <v>1.0396919835051002</v>
          </cell>
          <cell r="F270">
            <v>3.5382877441967393</v>
          </cell>
          <cell r="G270">
            <v>3.8351556383635312</v>
          </cell>
          <cell r="H270">
            <v>14.696655759377155</v>
          </cell>
          <cell r="I270">
            <v>15.716746920072071</v>
          </cell>
        </row>
        <row r="271">
          <cell r="A271" t="str">
            <v>T-Bat-Car-STG_S4</v>
          </cell>
          <cell r="B271" t="str">
            <v>VAR_ncap</v>
          </cell>
          <cell r="C271" t="str">
            <v>-</v>
          </cell>
          <cell r="D271">
            <v>2.7865784404970902E-2</v>
          </cell>
          <cell r="E271">
            <v>12.6191469297423</v>
          </cell>
          <cell r="F271">
            <v>41.537614009195302</v>
          </cell>
          <cell r="G271">
            <v>12.812193086115901</v>
          </cell>
          <cell r="H271">
            <v>119.87146441263501</v>
          </cell>
          <cell r="I271">
            <v>248.14393090832701</v>
          </cell>
        </row>
        <row r="272">
          <cell r="A272" t="str">
            <v>T-Bat-Car-STG_S4</v>
          </cell>
          <cell r="B272" t="str">
            <v>VAR_cap</v>
          </cell>
          <cell r="C272" t="str">
            <v>-</v>
          </cell>
          <cell r="D272">
            <v>2.7865784404970902E-2</v>
          </cell>
          <cell r="E272">
            <v>12.478200803640906</v>
          </cell>
          <cell r="F272">
            <v>52.740910874869925</v>
          </cell>
          <cell r="G272">
            <v>57.581333395927381</v>
          </cell>
          <cell r="H272">
            <v>235.77700180738867</v>
          </cell>
          <cell r="I272">
            <v>304.706106883953</v>
          </cell>
        </row>
        <row r="273">
          <cell r="A273" t="str">
            <v>T_TW-ICEGSL-S3</v>
          </cell>
          <cell r="B273" t="str">
            <v>VAR_fout</v>
          </cell>
          <cell r="C273" t="str">
            <v>CO2_T</v>
          </cell>
          <cell r="D273">
            <v>12.23719404131335</v>
          </cell>
          <cell r="E273">
            <v>14.790838999631969</v>
          </cell>
          <cell r="F273">
            <v>15.205243313904528</v>
          </cell>
          <cell r="G273">
            <v>14.630515132814095</v>
          </cell>
          <cell r="H273">
            <v>5.4263448388023286E-2</v>
          </cell>
          <cell r="I273">
            <v>3.4633549270147628E-3</v>
          </cell>
        </row>
        <row r="274">
          <cell r="A274" t="str">
            <v>T_TW-ICEGSL-S3</v>
          </cell>
          <cell r="B274" t="str">
            <v>VAR_fout</v>
          </cell>
          <cell r="C274" t="str">
            <v>TPTWL</v>
          </cell>
          <cell r="D274">
            <v>0.12095039970960872</v>
          </cell>
          <cell r="E274">
            <v>0.14634058499129851</v>
          </cell>
          <cell r="F274">
            <v>0.1504443114972458</v>
          </cell>
          <cell r="G274">
            <v>0.14476322082462384</v>
          </cell>
          <cell r="H274">
            <v>5.4881055498545803E-4</v>
          </cell>
          <cell r="I274">
            <v>3.6970229988313882E-5</v>
          </cell>
        </row>
        <row r="275">
          <cell r="A275" t="str">
            <v>T_TW-ICEGSL-S3</v>
          </cell>
          <cell r="B275" t="str">
            <v>VAR_fin</v>
          </cell>
          <cell r="C275" t="str">
            <v>TGSL</v>
          </cell>
          <cell r="D275">
            <v>0.16581563741616989</v>
          </cell>
          <cell r="E275">
            <v>0.20041787262373936</v>
          </cell>
          <cell r="F275">
            <v>0.20603310723447851</v>
          </cell>
          <cell r="G275">
            <v>0.19824546250425659</v>
          </cell>
          <cell r="H275">
            <v>7.3527707842850035E-4</v>
          </cell>
          <cell r="I275">
            <v>4.6928928550335534E-5</v>
          </cell>
        </row>
        <row r="276">
          <cell r="A276" t="str">
            <v>T_TW-ICEGSL-S3</v>
          </cell>
          <cell r="B276" t="str">
            <v>VAR_ncap</v>
          </cell>
          <cell r="C276" t="str">
            <v>-</v>
          </cell>
          <cell r="E276">
            <v>7.4032239426789306E-5</v>
          </cell>
          <cell r="F276">
            <v>7.19492467230664E-5</v>
          </cell>
          <cell r="G276">
            <v>4.6951949734158598E-5</v>
          </cell>
          <cell r="H276">
            <v>1.1403170150839801E-5</v>
          </cell>
          <cell r="I276">
            <v>2.3987066144501498E-6</v>
          </cell>
        </row>
        <row r="277">
          <cell r="A277" t="str">
            <v>T_TW-ICEGSL-S3</v>
          </cell>
          <cell r="B277" t="str">
            <v>VAR_cap</v>
          </cell>
          <cell r="C277" t="str">
            <v>-</v>
          </cell>
          <cell r="D277">
            <v>5.3234472758963626E-2</v>
          </cell>
          <cell r="E277">
            <v>6.9121637318142623E-2</v>
          </cell>
          <cell r="F277">
            <v>6.919514678154122E-2</v>
          </cell>
          <cell r="G277">
            <v>6.9243668015611076E-2</v>
          </cell>
          <cell r="H277">
            <v>2.3063141982761909E-4</v>
          </cell>
          <cell r="I277">
            <v>1.31609905694181E-5</v>
          </cell>
        </row>
        <row r="278">
          <cell r="A278" t="str">
            <v>T_C-ICEGSLEXT</v>
          </cell>
          <cell r="B278" t="str">
            <v>VAR_fout</v>
          </cell>
          <cell r="C278" t="str">
            <v>CO2_T</v>
          </cell>
          <cell r="D278">
            <v>4722.2888292112102</v>
          </cell>
          <cell r="E278">
            <v>3940.3374167345901</v>
          </cell>
          <cell r="F278">
            <v>3140.6388536960399</v>
          </cell>
          <cell r="G278">
            <v>953.28931215935199</v>
          </cell>
        </row>
        <row r="279">
          <cell r="A279" t="str">
            <v>T_C-ICEGSLEXT</v>
          </cell>
          <cell r="B279" t="str">
            <v>VAR_fout</v>
          </cell>
          <cell r="C279" t="str">
            <v>TPCAR</v>
          </cell>
          <cell r="D279">
            <v>18.302990370600099</v>
          </cell>
          <cell r="E279">
            <v>15.619783163986352</v>
          </cell>
          <cell r="F279">
            <v>12.865225614013051</v>
          </cell>
          <cell r="G279">
            <v>4.1152276039092088</v>
          </cell>
        </row>
        <row r="280">
          <cell r="A280" t="str">
            <v>T_C-ICEGSLEXT</v>
          </cell>
          <cell r="B280" t="str">
            <v>VAR_fin</v>
          </cell>
          <cell r="C280" t="str">
            <v>TGSL</v>
          </cell>
          <cell r="D280">
            <v>63.987653512347016</v>
          </cell>
          <cell r="E280">
            <v>53.392105917812941</v>
          </cell>
          <cell r="F280">
            <v>42.556082028401683</v>
          </cell>
          <cell r="G280">
            <v>12.917199351752751</v>
          </cell>
        </row>
        <row r="281">
          <cell r="A281" t="str">
            <v>T_C-ICEGSLEXT</v>
          </cell>
          <cell r="B281" t="str">
            <v>VAR_cap</v>
          </cell>
          <cell r="C281" t="str">
            <v>-</v>
          </cell>
          <cell r="D281">
            <v>2.4943270000000002</v>
          </cell>
          <cell r="E281">
            <v>2.16175006666667</v>
          </cell>
          <cell r="F281">
            <v>1.6628846396329631</v>
          </cell>
          <cell r="G281">
            <v>0.83144233333333339</v>
          </cell>
        </row>
        <row r="282">
          <cell r="A282" t="str">
            <v>T_TW-ICEGSL-S4</v>
          </cell>
          <cell r="B282" t="str">
            <v>VAR_fout</v>
          </cell>
          <cell r="C282" t="str">
            <v>CO2_T</v>
          </cell>
          <cell r="D282">
            <v>7.9524681294453705</v>
          </cell>
          <cell r="E282">
            <v>9.414216845395007</v>
          </cell>
          <cell r="F282">
            <v>9.6796972428122743</v>
          </cell>
          <cell r="G282">
            <v>9.3666462716812333</v>
          </cell>
          <cell r="H282">
            <v>6.0397056219721378E-2</v>
          </cell>
          <cell r="I282">
            <v>6.9010213353852658E-3</v>
          </cell>
        </row>
        <row r="283">
          <cell r="A283" t="str">
            <v>T_TW-ICEGSL-S4</v>
          </cell>
          <cell r="B283" t="str">
            <v>VAR_fout</v>
          </cell>
          <cell r="C283" t="str">
            <v>TPTWL</v>
          </cell>
          <cell r="D283">
            <v>7.2822374048528329E-2</v>
          </cell>
          <cell r="E283">
            <v>8.6286475658262696E-2</v>
          </cell>
          <cell r="F283">
            <v>8.8721502615287065E-2</v>
          </cell>
          <cell r="G283">
            <v>8.5854725739037213E-2</v>
          </cell>
          <cell r="H283">
            <v>5.6162351525306669E-4</v>
          </cell>
          <cell r="I283">
            <v>6.5909499630016622E-5</v>
          </cell>
        </row>
        <row r="284">
          <cell r="A284" t="str">
            <v>T_TW-ICEGSL-S4</v>
          </cell>
          <cell r="B284" t="str">
            <v>VAR_fin</v>
          </cell>
          <cell r="C284" t="str">
            <v>TGSL</v>
          </cell>
          <cell r="D284">
            <v>0.10775702072419184</v>
          </cell>
          <cell r="E284">
            <v>0.12756391389424135</v>
          </cell>
          <cell r="F284">
            <v>0.13116120925219873</v>
          </cell>
          <cell r="G284">
            <v>0.1269193261745426</v>
          </cell>
          <cell r="H284">
            <v>8.1838829566018055E-4</v>
          </cell>
          <cell r="I284">
            <v>9.3509774192212443E-5</v>
          </cell>
        </row>
        <row r="285">
          <cell r="A285" t="str">
            <v>T_TW-ICEGSL-S4</v>
          </cell>
          <cell r="B285" t="str">
            <v>VAR_ncap</v>
          </cell>
          <cell r="C285" t="str">
            <v>-</v>
          </cell>
          <cell r="E285">
            <v>3.1958824464613803E-5</v>
          </cell>
          <cell r="F285">
            <v>3.0642710255542398E-5</v>
          </cell>
          <cell r="G285">
            <v>2.27896261430386E-5</v>
          </cell>
          <cell r="H285">
            <v>6.3736577077017902E-6</v>
          </cell>
          <cell r="I285">
            <v>2.0533448677382402E-6</v>
          </cell>
        </row>
        <row r="286">
          <cell r="A286" t="str">
            <v>T_TW-ICEGSL-S4</v>
          </cell>
          <cell r="B286" t="str">
            <v>VAR_cap</v>
          </cell>
          <cell r="C286" t="str">
            <v>-</v>
          </cell>
          <cell r="D286">
            <v>3.27433073212949E-2</v>
          </cell>
          <cell r="E286">
            <v>4.0900331699370164E-2</v>
          </cell>
          <cell r="F286">
            <v>4.0932617426919296E-2</v>
          </cell>
          <cell r="G286">
            <v>4.0957034244590421E-2</v>
          </cell>
          <cell r="H286">
            <v>2.3294656391237289E-4</v>
          </cell>
          <cell r="I286">
            <v>2.4308462218517596E-5</v>
          </cell>
        </row>
        <row r="287">
          <cell r="A287" t="str">
            <v>T_C-ICEDSLEXT</v>
          </cell>
          <cell r="B287" t="str">
            <v>VAR_fout</v>
          </cell>
          <cell r="C287" t="str">
            <v>CO2_T</v>
          </cell>
          <cell r="D287">
            <v>4001.7608804280499</v>
          </cell>
          <cell r="E287">
            <v>3569.7775108174901</v>
          </cell>
          <cell r="F287">
            <v>2582.8872235976801</v>
          </cell>
          <cell r="G287">
            <v>1175.1496214853701</v>
          </cell>
        </row>
        <row r="288">
          <cell r="A288" t="str">
            <v>T_C-ICEDSLEXT</v>
          </cell>
          <cell r="B288" t="str">
            <v>VAR_fout</v>
          </cell>
          <cell r="C288" t="str">
            <v>TPCAR</v>
          </cell>
          <cell r="D288">
            <v>18.508471650822095</v>
          </cell>
          <cell r="E288">
            <v>17.235950992505828</v>
          </cell>
          <cell r="F288">
            <v>13.258278268547047</v>
          </cell>
          <cell r="G288">
            <v>6.6292123191620682</v>
          </cell>
        </row>
        <row r="289">
          <cell r="A289" t="str">
            <v>T_C-ICEDSLEXT</v>
          </cell>
          <cell r="B289" t="str">
            <v>VAR_fin</v>
          </cell>
          <cell r="C289" t="str">
            <v>TDSL</v>
          </cell>
          <cell r="D289">
            <v>54.59428213407972</v>
          </cell>
          <cell r="E289">
            <v>48.700921020702424</v>
          </cell>
          <cell r="F289">
            <v>35.237206324661393</v>
          </cell>
          <cell r="G289">
            <v>16.03205486337481</v>
          </cell>
        </row>
        <row r="290">
          <cell r="A290" t="str">
            <v>T_C-ICEDSLEXT</v>
          </cell>
          <cell r="B290" t="str">
            <v>VAR_cap</v>
          </cell>
          <cell r="C290" t="str">
            <v>-</v>
          </cell>
          <cell r="D290">
            <v>1.059558</v>
          </cell>
          <cell r="E290">
            <v>0.91828359999999998</v>
          </cell>
          <cell r="F290">
            <v>0.70637196913045941</v>
          </cell>
          <cell r="G290">
            <v>0.35318596368401944</v>
          </cell>
        </row>
        <row r="291">
          <cell r="A291" t="str">
            <v>T-Plg-ELC-GSL_S1</v>
          </cell>
          <cell r="B291" t="str">
            <v>VAR_fout</v>
          </cell>
          <cell r="C291" t="str">
            <v>T-PEVmix-ELC_GSL_S1</v>
          </cell>
          <cell r="E291">
            <v>1.1737088452082339E-4</v>
          </cell>
          <cell r="F291">
            <v>2.694263341942689E-4</v>
          </cell>
          <cell r="G291">
            <v>4.7553933007843808E-4</v>
          </cell>
          <cell r="H291">
            <v>5.7961496789469397E-4</v>
          </cell>
          <cell r="I291">
            <v>3.3440998277971593E-4</v>
          </cell>
        </row>
        <row r="292">
          <cell r="A292" t="str">
            <v>T-Plg-ELC-GSL_S1</v>
          </cell>
          <cell r="B292" t="str">
            <v>VAR_fin</v>
          </cell>
          <cell r="C292" t="str">
            <v>T-ELC-car-PlgSTGOut_S1</v>
          </cell>
          <cell r="E292">
            <v>6.4439552721349657E-5</v>
          </cell>
          <cell r="F292">
            <v>1.4792179966703164E-4</v>
          </cell>
          <cell r="G292">
            <v>2.6108299223244079E-4</v>
          </cell>
          <cell r="H292">
            <v>3.0143145510017375E-4</v>
          </cell>
          <cell r="I292">
            <v>1.5958483324419204E-4</v>
          </cell>
        </row>
        <row r="293">
          <cell r="A293" t="str">
            <v>T-Plg-ELC-GSL_S2</v>
          </cell>
          <cell r="B293" t="str">
            <v>VAR_fout</v>
          </cell>
          <cell r="C293" t="str">
            <v>T-PEVmix-ELC_GSL_S2</v>
          </cell>
          <cell r="D293">
            <v>5.1994713950446912E-3</v>
          </cell>
          <cell r="E293">
            <v>1.2542581424989088E-3</v>
          </cell>
          <cell r="F293">
            <v>5.1632176417194722E-3</v>
          </cell>
          <cell r="G293">
            <v>1.6807297770043333E-2</v>
          </cell>
          <cell r="H293">
            <v>1.827959337625467E-3</v>
          </cell>
          <cell r="I293">
            <v>7.2378015284426365E-4</v>
          </cell>
        </row>
        <row r="294">
          <cell r="A294" t="str">
            <v>T-Plg-ELC-GSL_S2</v>
          </cell>
          <cell r="B294" t="str">
            <v>VAR_fin</v>
          </cell>
          <cell r="C294" t="str">
            <v>T-ELC-car-PlgSTGOut_S2</v>
          </cell>
          <cell r="D294">
            <v>3.4590802445502579E-3</v>
          </cell>
          <cell r="E294">
            <v>8.3442704703003481E-4</v>
          </cell>
          <cell r="F294">
            <v>3.4349615154737664E-3</v>
          </cell>
          <cell r="G294">
            <v>1.1181481205192922E-2</v>
          </cell>
          <cell r="H294">
            <v>1.1321083112964517E-3</v>
          </cell>
          <cell r="I294">
            <v>4.0852289683364779E-4</v>
          </cell>
        </row>
        <row r="295">
          <cell r="A295" t="str">
            <v>T-Plg-ELC-DSL_S1</v>
          </cell>
          <cell r="B295" t="str">
            <v>VAR_fout</v>
          </cell>
          <cell r="C295" t="str">
            <v>T-PEVmix-ELC_DSL_S1</v>
          </cell>
          <cell r="E295">
            <v>9.8974585773449133E-5</v>
          </cell>
          <cell r="F295">
            <v>2.4674129226353274E-4</v>
          </cell>
          <cell r="G295">
            <v>4.5690388939044008E-4</v>
          </cell>
          <cell r="H295">
            <v>5.7584775123817713E-4</v>
          </cell>
          <cell r="I295">
            <v>3.1582974991066856E-4</v>
          </cell>
        </row>
        <row r="296">
          <cell r="A296" t="str">
            <v>T-Plg-ELC-DSL_S1</v>
          </cell>
          <cell r="B296" t="str">
            <v>VAR_fin</v>
          </cell>
          <cell r="C296" t="str">
            <v>T-ELC-car-PlgSTGOut_S1</v>
          </cell>
          <cell r="E296">
            <v>5.4339524355296016E-5</v>
          </cell>
          <cell r="F296">
            <v>1.3546714397069207E-4</v>
          </cell>
          <cell r="G296">
            <v>2.508516689566343E-4</v>
          </cell>
          <cell r="H296">
            <v>2.9948517508076949E-4</v>
          </cell>
          <cell r="I296">
            <v>1.5095535916001863E-4</v>
          </cell>
        </row>
        <row r="297">
          <cell r="A297" t="str">
            <v>T_TRM_ELC</v>
          </cell>
          <cell r="B297" t="str">
            <v>VAR_fout</v>
          </cell>
          <cell r="C297" t="str">
            <v>TPTRM</v>
          </cell>
          <cell r="D297">
            <v>3.3477999999999994E-2</v>
          </cell>
          <cell r="E297">
            <v>3.4238693943285006E-2</v>
          </cell>
          <cell r="F297">
            <v>3.5370833501607003E-2</v>
          </cell>
          <cell r="G297">
            <v>3.726366700321395E-2</v>
          </cell>
          <cell r="H297">
            <v>3.9048512196511807E-2</v>
          </cell>
          <cell r="I297">
            <v>4.0347931071859175E-2</v>
          </cell>
        </row>
        <row r="298">
          <cell r="A298" t="str">
            <v>T_TRM_ELC</v>
          </cell>
          <cell r="B298" t="str">
            <v>VAR_fin</v>
          </cell>
          <cell r="C298" t="str">
            <v>TELC</v>
          </cell>
          <cell r="D298">
            <v>0.58772895164057959</v>
          </cell>
          <cell r="E298">
            <v>0.61504030570008339</v>
          </cell>
          <cell r="F298">
            <v>0.65830556959273911</v>
          </cell>
          <cell r="G298">
            <v>0.7379148962536346</v>
          </cell>
          <cell r="H298">
            <v>0.77325934733858914</v>
          </cell>
          <cell r="I298">
            <v>0.79899112903654423</v>
          </cell>
        </row>
        <row r="299">
          <cell r="A299" t="str">
            <v>T-Plg-ELC-GSL_S3</v>
          </cell>
          <cell r="B299" t="str">
            <v>VAR_fout</v>
          </cell>
          <cell r="C299" t="str">
            <v>T-PEVmix-ELC_GSL_S3</v>
          </cell>
          <cell r="E299">
            <v>4.2755398420891831E-4</v>
          </cell>
          <cell r="F299">
            <v>0.2277636903373666</v>
          </cell>
          <cell r="G299">
            <v>0.29777331522706646</v>
          </cell>
          <cell r="H299">
            <v>1.7616767049003024</v>
          </cell>
          <cell r="I299">
            <v>0.63879602053467788</v>
          </cell>
        </row>
        <row r="300">
          <cell r="A300" t="str">
            <v>T-Plg-ELC-GSL_S3</v>
          </cell>
          <cell r="B300" t="str">
            <v>VAR_fin</v>
          </cell>
          <cell r="C300" t="str">
            <v>T-ELC-car-PlgSTGOut_S3</v>
          </cell>
          <cell r="E300">
            <v>3.0514176788296385E-4</v>
          </cell>
          <cell r="F300">
            <v>0.16255307562549021</v>
          </cell>
          <cell r="G300">
            <v>0.21251837006004656</v>
          </cell>
          <cell r="H300">
            <v>1.1439502933797607</v>
          </cell>
          <cell r="I300">
            <v>0.37638386913912891</v>
          </cell>
        </row>
        <row r="301">
          <cell r="A301" t="str">
            <v>T-Plg-ELC-DSL_S2</v>
          </cell>
          <cell r="B301" t="str">
            <v>VAR_fout</v>
          </cell>
          <cell r="C301" t="str">
            <v>T-PEVmix-ELC_DSL_S2</v>
          </cell>
          <cell r="D301">
            <v>2.8200317172903467E-6</v>
          </cell>
          <cell r="E301">
            <v>1.4225543080181828E-4</v>
          </cell>
          <cell r="F301">
            <v>4.9181269679807052E-4</v>
          </cell>
          <cell r="G301">
            <v>1.0999098017087491E-3</v>
          </cell>
          <cell r="H301">
            <v>1.9025905652999824E-3</v>
          </cell>
          <cell r="I301">
            <v>6.860771011280249E-4</v>
          </cell>
        </row>
        <row r="302">
          <cell r="A302" t="str">
            <v>T-Plg-ELC-DSL_S2</v>
          </cell>
          <cell r="B302" t="str">
            <v>VAR_fin</v>
          </cell>
          <cell r="C302" t="str">
            <v>T-ELC-car-PlgSTGOut_S2</v>
          </cell>
          <cell r="D302">
            <v>1.87609763784465E-6</v>
          </cell>
          <cell r="E302">
            <v>9.4639034044022538E-5</v>
          </cell>
          <cell r="F302">
            <v>3.2719087273651006E-4</v>
          </cell>
          <cell r="G302">
            <v>7.3174289784610298E-4</v>
          </cell>
          <cell r="H302">
            <v>1.1779912182432663E-3</v>
          </cell>
          <cell r="I302">
            <v>3.8770538993139172E-4</v>
          </cell>
        </row>
        <row r="303">
          <cell r="A303" t="str">
            <v>T_TW-ICEGSLEXT</v>
          </cell>
          <cell r="B303" t="str">
            <v>VAR_fout</v>
          </cell>
          <cell r="C303" t="str">
            <v>CO2_T</v>
          </cell>
          <cell r="D303">
            <v>146.10427250291701</v>
          </cell>
          <cell r="E303">
            <v>110.27545069049199</v>
          </cell>
          <cell r="F303">
            <v>76.301517590160103</v>
          </cell>
          <cell r="G303">
            <v>33.459704426396698</v>
          </cell>
        </row>
        <row r="304">
          <cell r="A304" t="str">
            <v>T_TW-ICEGSLEXT</v>
          </cell>
          <cell r="B304" t="str">
            <v>VAR_fout</v>
          </cell>
          <cell r="C304" t="str">
            <v>TPTWL</v>
          </cell>
          <cell r="D304">
            <v>1.5267007682409273</v>
          </cell>
          <cell r="E304">
            <v>1.1763287484820701</v>
          </cell>
          <cell r="F304">
            <v>0.83884954510076581</v>
          </cell>
          <cell r="G304">
            <v>0.38607023325068052</v>
          </cell>
        </row>
        <row r="305">
          <cell r="A305" t="str">
            <v>T_TW-ICEGSLEXT</v>
          </cell>
          <cell r="B305" t="str">
            <v>VAR_fin</v>
          </cell>
          <cell r="C305" t="str">
            <v>TGSL</v>
          </cell>
          <cell r="D305">
            <v>1.979732689741426</v>
          </cell>
          <cell r="E305">
            <v>1.4942472993291658</v>
          </cell>
          <cell r="F305">
            <v>1.0338959023056919</v>
          </cell>
          <cell r="G305">
            <v>0.45338352881296384</v>
          </cell>
        </row>
        <row r="306">
          <cell r="A306" t="str">
            <v>T_TW-ICEGSLEXT</v>
          </cell>
          <cell r="B306" t="str">
            <v>VAR_cap</v>
          </cell>
          <cell r="C306" t="str">
            <v>-</v>
          </cell>
          <cell r="D306">
            <v>0.55779800000000002</v>
          </cell>
          <cell r="E306">
            <v>0.48342493333333297</v>
          </cell>
          <cell r="F306">
            <v>0.37185708803097983</v>
          </cell>
          <cell r="G306">
            <v>0.18592697694149909</v>
          </cell>
        </row>
        <row r="307">
          <cell r="A307" t="str">
            <v>T-Plg-ELC-GSL_S4</v>
          </cell>
          <cell r="B307" t="str">
            <v>VAR_fout</v>
          </cell>
          <cell r="C307" t="str">
            <v>T-PEVmix-ELC_GSL_S4</v>
          </cell>
          <cell r="E307">
            <v>3.9897465279470953E-4</v>
          </cell>
          <cell r="F307">
            <v>5.4545066380353151E-3</v>
          </cell>
          <cell r="G307">
            <v>3.6596167481752213E-2</v>
          </cell>
          <cell r="H307">
            <v>3.1797240984178395E-3</v>
          </cell>
          <cell r="I307">
            <v>1.1767628114039582E-3</v>
          </cell>
        </row>
        <row r="308">
          <cell r="A308" t="str">
            <v>T-Plg-ELC-GSL_S4</v>
          </cell>
          <cell r="B308" t="str">
            <v>VAR_fin</v>
          </cell>
          <cell r="C308" t="str">
            <v>T-ELC-car-PlgSTGOut_S4</v>
          </cell>
          <cell r="E308">
            <v>2.9787576049020376E-4</v>
          </cell>
          <cell r="F308">
            <v>4.0723522196775925E-3</v>
          </cell>
          <cell r="G308">
            <v>2.7322816482938113E-2</v>
          </cell>
          <cell r="H308">
            <v>2.2031034269546479E-3</v>
          </cell>
          <cell r="I308">
            <v>7.4683722831413136E-4</v>
          </cell>
        </row>
        <row r="309">
          <cell r="A309" t="str">
            <v>T-Plg-ELC-DSL_S3</v>
          </cell>
          <cell r="B309" t="str">
            <v>VAR_fout</v>
          </cell>
          <cell r="C309" t="str">
            <v>T-PEVmix-ELC_DSL_S3</v>
          </cell>
          <cell r="E309">
            <v>5.9250884283784395E-4</v>
          </cell>
          <cell r="F309">
            <v>0.1866053235955501</v>
          </cell>
          <cell r="G309">
            <v>0.86477317189341862</v>
          </cell>
          <cell r="H309">
            <v>1.9819264636628522</v>
          </cell>
          <cell r="I309">
            <v>0.44528948145978769</v>
          </cell>
        </row>
        <row r="310">
          <cell r="A310" t="str">
            <v>T-Plg-ELC-DSL_S3</v>
          </cell>
          <cell r="B310" t="str">
            <v>VAR_fin</v>
          </cell>
          <cell r="C310" t="str">
            <v>T-ELC-car-PlgSTGOut_S3</v>
          </cell>
          <cell r="E310">
            <v>4.2286869604162946E-4</v>
          </cell>
          <cell r="F310">
            <v>0.13317868723331849</v>
          </cell>
          <cell r="G310">
            <v>0.61718151212543804</v>
          </cell>
          <cell r="H310">
            <v>1.2869707720262475</v>
          </cell>
          <cell r="I310">
            <v>0.26237404201872822</v>
          </cell>
        </row>
        <row r="311">
          <cell r="A311" t="str">
            <v>T-Plg-ELC-DSL_S4</v>
          </cell>
          <cell r="B311" t="str">
            <v>VAR_fout</v>
          </cell>
          <cell r="C311" t="str">
            <v>T-PEVmix-ELC_DSL_S4</v>
          </cell>
          <cell r="E311">
            <v>5.5358080445754693E-4</v>
          </cell>
          <cell r="F311">
            <v>1.5531008393507005E-3</v>
          </cell>
          <cell r="G311">
            <v>5.1935914750084735E-3</v>
          </cell>
          <cell r="H311">
            <v>3.0623500627182144E-3</v>
          </cell>
          <cell r="I311">
            <v>1.0599305782133593E-3</v>
          </cell>
        </row>
        <row r="312">
          <cell r="A312" t="str">
            <v>T-Plg-ELC-DSL_S4</v>
          </cell>
          <cell r="B312" t="str">
            <v>VAR_fin</v>
          </cell>
          <cell r="C312" t="str">
            <v>T-ELC-car-PlgSTGOut_S4</v>
          </cell>
          <cell r="E312">
            <v>4.1330521115941145E-4</v>
          </cell>
          <cell r="F312">
            <v>1.1595500877034609E-3</v>
          </cell>
          <cell r="G312">
            <v>3.877552118804928E-3</v>
          </cell>
          <cell r="H312">
            <v>2.1225282076775022E-3</v>
          </cell>
          <cell r="I312">
            <v>6.737581070891353E-4</v>
          </cell>
        </row>
        <row r="313">
          <cell r="A313" t="str">
            <v>TFLGV-ICENGA</v>
          </cell>
          <cell r="B313" t="str">
            <v>VAR_fout</v>
          </cell>
          <cell r="C313" t="str">
            <v>CO2_T</v>
          </cell>
          <cell r="D313">
            <v>0.4711102222649553</v>
          </cell>
          <cell r="E313">
            <v>5.4939837015008E-2</v>
          </cell>
          <cell r="F313">
            <v>7.6700729665586456E-2</v>
          </cell>
          <cell r="G313">
            <v>3.6567900269816669E-2</v>
          </cell>
          <cell r="H313">
            <v>3.0730218954879332E-2</v>
          </cell>
          <cell r="I313">
            <v>7.0734465486743704E-3</v>
          </cell>
        </row>
        <row r="314">
          <cell r="A314" t="str">
            <v>TFLGV-ICENGA</v>
          </cell>
          <cell r="B314" t="str">
            <v>VAR_fout</v>
          </cell>
          <cell r="C314" t="str">
            <v>TFLGV</v>
          </cell>
          <cell r="D314">
            <v>2.6777848854078763E-3</v>
          </cell>
          <cell r="E314">
            <v>3.1227737844079462E-4</v>
          </cell>
          <cell r="F314">
            <v>4.3596603277003666E-4</v>
          </cell>
          <cell r="G314">
            <v>2.0785150906478571E-4</v>
          </cell>
          <cell r="H314">
            <v>1.7467019808449554E-4</v>
          </cell>
          <cell r="I314">
            <v>4.020538583246463E-5</v>
          </cell>
        </row>
        <row r="315">
          <cell r="A315" t="str">
            <v>TFLGV-ICENGA</v>
          </cell>
          <cell r="B315" t="str">
            <v>VAR_fin</v>
          </cell>
          <cell r="C315" t="str">
            <v>TNGA</v>
          </cell>
          <cell r="D315">
            <v>8.3530181252651648E-3</v>
          </cell>
          <cell r="E315">
            <v>9.7411058537248132E-4</v>
          </cell>
          <cell r="F315">
            <v>1.3599420153472775E-3</v>
          </cell>
          <cell r="G315">
            <v>6.4836702606058019E-4</v>
          </cell>
          <cell r="H315">
            <v>5.4486203820708139E-4</v>
          </cell>
          <cell r="I315">
            <v>1.25415718948127E-4</v>
          </cell>
        </row>
        <row r="316">
          <cell r="A316" t="str">
            <v>TFLGV-ICENGA</v>
          </cell>
          <cell r="B316" t="str">
            <v>VAR_ncap</v>
          </cell>
          <cell r="C316" t="str">
            <v>-</v>
          </cell>
          <cell r="D316">
            <v>3.8896223181147698E-8</v>
          </cell>
          <cell r="E316">
            <v>2.0615122012000999E-6</v>
          </cell>
          <cell r="F316">
            <v>3.9156856124678497E-6</v>
          </cell>
          <cell r="G316">
            <v>3.1841748421140102E-6</v>
          </cell>
          <cell r="H316">
            <v>3.17552087377301E-6</v>
          </cell>
          <cell r="I316">
            <v>5.5881362197022099E-7</v>
          </cell>
        </row>
        <row r="317">
          <cell r="A317" t="str">
            <v>TFLGV-ICENGA</v>
          </cell>
          <cell r="B317" t="str">
            <v>VAR_cap</v>
          </cell>
          <cell r="C317" t="str">
            <v>-</v>
          </cell>
          <cell r="D317">
            <v>2.0105287690614911E-4</v>
          </cell>
          <cell r="E317">
            <v>2.8299281110573263E-5</v>
          </cell>
          <cell r="F317">
            <v>3.2824430024922121E-5</v>
          </cell>
          <cell r="G317">
            <v>1.5041993742335199E-5</v>
          </cell>
          <cell r="H317">
            <v>1.5162575363217475E-5</v>
          </cell>
          <cell r="I317">
            <v>3.5100255238567939E-6</v>
          </cell>
        </row>
        <row r="318">
          <cell r="A318" t="str">
            <v>TFLGV-BEVELC</v>
          </cell>
          <cell r="B318" t="str">
            <v>VAR_fout</v>
          </cell>
          <cell r="C318" t="str">
            <v>TFLGV</v>
          </cell>
          <cell r="D318">
            <v>2.3830946649191529E-2</v>
          </cell>
          <cell r="E318">
            <v>4.3991826388895629E-2</v>
          </cell>
          <cell r="F318">
            <v>8.3319212427587122E-2</v>
          </cell>
          <cell r="G318">
            <v>1.1526216198294315</v>
          </cell>
          <cell r="H318">
            <v>4.4552611225073617</v>
          </cell>
          <cell r="I318">
            <v>5.3942521353422386</v>
          </cell>
        </row>
        <row r="319">
          <cell r="A319" t="str">
            <v>TFLGV-BEVELC</v>
          </cell>
          <cell r="B319" t="str">
            <v>VAR_fin</v>
          </cell>
          <cell r="C319" t="str">
            <v>T-ELC-LGV_BatSTGout</v>
          </cell>
          <cell r="D319">
            <v>3.4975683400432993E-2</v>
          </cell>
          <cell r="E319">
            <v>6.4564963139516179E-2</v>
          </cell>
          <cell r="F319">
            <v>0.12228412231956261</v>
          </cell>
          <cell r="G319">
            <v>1.6916545300988326</v>
          </cell>
          <cell r="H319">
            <v>6.5388003582460046</v>
          </cell>
          <cell r="I319">
            <v>7.9169181839547376</v>
          </cell>
        </row>
        <row r="320">
          <cell r="A320" t="str">
            <v>TFLGV-BEVELC</v>
          </cell>
          <cell r="B320" t="str">
            <v>VAR_ncap</v>
          </cell>
          <cell r="C320" t="str">
            <v>-</v>
          </cell>
          <cell r="E320">
            <v>1.23827741257049E-3</v>
          </cell>
          <cell r="F320">
            <v>2.0194005622893498E-3</v>
          </cell>
          <cell r="G320">
            <v>7.5504231617008297E-2</v>
          </cell>
          <cell r="H320">
            <v>0.19524965503575101</v>
          </cell>
          <cell r="I320">
            <v>0.367471291327646</v>
          </cell>
        </row>
        <row r="321">
          <cell r="A321" t="str">
            <v>TFLGV-BEVELC</v>
          </cell>
          <cell r="B321" t="str">
            <v>VAR_cap</v>
          </cell>
          <cell r="C321" t="str">
            <v>-</v>
          </cell>
          <cell r="D321">
            <v>1.6985948825918543E-3</v>
          </cell>
          <cell r="E321">
            <v>3.8298948414616832E-3</v>
          </cell>
          <cell r="F321">
            <v>5.8495690863002887E-3</v>
          </cell>
          <cell r="G321">
            <v>8.0379714460725768E-2</v>
          </cell>
          <cell r="H321">
            <v>0.42570214801133172</v>
          </cell>
          <cell r="I321">
            <v>0.50348490717674754</v>
          </cell>
        </row>
        <row r="322">
          <cell r="A322" t="str">
            <v>T_B_c-BEVELC-S1</v>
          </cell>
          <cell r="B322" t="str">
            <v>VAR_fout</v>
          </cell>
          <cell r="C322" t="str">
            <v>TPBSc</v>
          </cell>
          <cell r="D322">
            <v>1.3433429464047037E-4</v>
          </cell>
          <cell r="E322">
            <v>2.2402265978071627E-4</v>
          </cell>
          <cell r="F322">
            <v>4.6084825246025737E-4</v>
          </cell>
          <cell r="G322">
            <v>6.4502319799736599E-2</v>
          </cell>
          <cell r="H322">
            <v>5.2318479321848216E-2</v>
          </cell>
          <cell r="I322">
            <v>5.4372357512950588E-2</v>
          </cell>
        </row>
        <row r="323">
          <cell r="A323" t="str">
            <v>T_B_c-BEVELC-S1</v>
          </cell>
          <cell r="B323" t="str">
            <v>VAR_fin</v>
          </cell>
          <cell r="C323" t="str">
            <v>T-ELC-Bus_c_BatSTGout_S1</v>
          </cell>
          <cell r="D323">
            <v>3.5473118768280024E-4</v>
          </cell>
          <cell r="E323">
            <v>5.812837308396035E-4</v>
          </cell>
          <cell r="F323">
            <v>1.1553563638835422E-3</v>
          </cell>
          <cell r="G323">
            <v>0.14428967800360215</v>
          </cell>
          <cell r="H323">
            <v>0.11089471665533671</v>
          </cell>
          <cell r="I323">
            <v>0.10041798816880346</v>
          </cell>
        </row>
        <row r="324">
          <cell r="A324" t="str">
            <v>T_B_c-BEVELC-S1</v>
          </cell>
          <cell r="B324" t="str">
            <v>VAR_ncap</v>
          </cell>
          <cell r="C324" t="str">
            <v>-</v>
          </cell>
          <cell r="E324">
            <v>2.2280568253436699E-6</v>
          </cell>
          <cell r="F324">
            <v>5.5799765542844601E-6</v>
          </cell>
          <cell r="G324">
            <v>1.3973027938771799E-3</v>
          </cell>
          <cell r="H324">
            <v>3.68209210373577E-5</v>
          </cell>
          <cell r="I324">
            <v>1.21783649642121E-3</v>
          </cell>
        </row>
        <row r="325">
          <cell r="A325" t="str">
            <v>T_B_c-BEVELC-S1</v>
          </cell>
          <cell r="B325" t="str">
            <v>VAR_cap</v>
          </cell>
          <cell r="C325" t="str">
            <v>-</v>
          </cell>
          <cell r="D325">
            <v>2.9463723822450829E-6</v>
          </cell>
          <cell r="E325">
            <v>5.3374099209586392E-6</v>
          </cell>
          <cell r="F325">
            <v>1.075377908191643E-5</v>
          </cell>
          <cell r="G325">
            <v>1.4067860506101143E-3</v>
          </cell>
          <cell r="H325">
            <v>1.1368493296424499E-3</v>
          </cell>
          <cell r="I325">
            <v>1.241730813152872E-3</v>
          </cell>
        </row>
        <row r="326">
          <cell r="A326" t="str">
            <v>T_B_c-BEVELC-S2</v>
          </cell>
          <cell r="B326" t="str">
            <v>VAR_fout</v>
          </cell>
          <cell r="C326" t="str">
            <v>TPBSc</v>
          </cell>
          <cell r="D326">
            <v>1.8784774009891129E-4</v>
          </cell>
          <cell r="E326">
            <v>1.961058131550366E-4</v>
          </cell>
          <cell r="F326">
            <v>3.9212800398726711E-4</v>
          </cell>
          <cell r="G326">
            <v>5.4573032644229622E-2</v>
          </cell>
          <cell r="H326">
            <v>5.7312694893486754E-2</v>
          </cell>
          <cell r="I326">
            <v>5.59940847764622E-2</v>
          </cell>
        </row>
        <row r="327">
          <cell r="A327" t="str">
            <v>T_B_c-BEVELC-S2</v>
          </cell>
          <cell r="B327" t="str">
            <v>VAR_fin</v>
          </cell>
          <cell r="C327" t="str">
            <v>T-ELC-Bus_c_BatSTGout_S2</v>
          </cell>
          <cell r="D327">
            <v>6.8263412626574612E-4</v>
          </cell>
          <cell r="E327">
            <v>7.0291665424383981E-4</v>
          </cell>
          <cell r="F327">
            <v>1.362633543408154E-3</v>
          </cell>
          <cell r="G327">
            <v>0.16837901931410135</v>
          </cell>
          <cell r="H327">
            <v>0.16302292946607991</v>
          </cell>
          <cell r="I327">
            <v>0.14835171673314873</v>
          </cell>
        </row>
        <row r="328">
          <cell r="A328" t="str">
            <v>T_B_c-BEVELC-S2</v>
          </cell>
          <cell r="B328" t="str">
            <v>VAR_ncap</v>
          </cell>
          <cell r="C328" t="str">
            <v>-</v>
          </cell>
          <cell r="E328">
            <v>1.30315253227148E-6</v>
          </cell>
          <cell r="F328">
            <v>3.9783547428309904E-6</v>
          </cell>
          <cell r="G328">
            <v>1.1785302452735401E-3</v>
          </cell>
          <cell r="H328">
            <v>9.8769284355631191E-4</v>
          </cell>
          <cell r="I328">
            <v>7.1347230532628502E-4</v>
          </cell>
        </row>
        <row r="329">
          <cell r="A329" t="str">
            <v>T_B_c-BEVELC-S2</v>
          </cell>
          <cell r="B329" t="str">
            <v>VAR_cap</v>
          </cell>
          <cell r="C329" t="str">
            <v>-</v>
          </cell>
          <cell r="D329">
            <v>4.5710592197900206E-6</v>
          </cell>
          <cell r="E329">
            <v>4.8411156265224794E-6</v>
          </cell>
          <cell r="F329">
            <v>8.9352239395390705E-6</v>
          </cell>
          <cell r="G329">
            <v>1.1862532759912023E-3</v>
          </cell>
          <cell r="H329">
            <v>1.2453460750250825E-3</v>
          </cell>
          <cell r="I329">
            <v>1.217891046142351E-3</v>
          </cell>
        </row>
        <row r="330">
          <cell r="A330" t="str">
            <v>T_B_c-BEVELC-S3</v>
          </cell>
          <cell r="B330" t="str">
            <v>VAR_fout</v>
          </cell>
          <cell r="C330" t="str">
            <v>TPBSc</v>
          </cell>
          <cell r="D330">
            <v>7.0007095785763119E-5</v>
          </cell>
          <cell r="E330">
            <v>1.0569368702141424E-4</v>
          </cell>
          <cell r="F330">
            <v>1.6415770346363718E-4</v>
          </cell>
          <cell r="G330">
            <v>2.9670292774967128E-4</v>
          </cell>
          <cell r="H330">
            <v>1.2202183681569225E-2</v>
          </cell>
          <cell r="I330">
            <v>1.1971847929108487E-2</v>
          </cell>
        </row>
        <row r="331">
          <cell r="A331" t="str">
            <v>T_B_c-BEVELC-S3</v>
          </cell>
          <cell r="B331" t="str">
            <v>VAR_fin</v>
          </cell>
          <cell r="C331" t="str">
            <v>T-ELC-Bus_c_BatSTGout_S3</v>
          </cell>
          <cell r="D331">
            <v>3.8261430841294571E-4</v>
          </cell>
          <cell r="E331">
            <v>5.7067318711796604E-4</v>
          </cell>
          <cell r="F331">
            <v>8.6914673540089665E-4</v>
          </cell>
          <cell r="G331">
            <v>1.4325102094398E-3</v>
          </cell>
          <cell r="H331">
            <v>5.1797515759215984E-2</v>
          </cell>
          <cell r="I331">
            <v>4.6754053667976955E-2</v>
          </cell>
        </row>
        <row r="332">
          <cell r="A332" t="str">
            <v>T_B_c-BEVELC-S3</v>
          </cell>
          <cell r="B332" t="str">
            <v>VAR_ncap</v>
          </cell>
          <cell r="C332" t="str">
            <v>-</v>
          </cell>
          <cell r="E332">
            <v>6.3951560890742698E-7</v>
          </cell>
          <cell r="F332">
            <v>1.0652508868972399E-6</v>
          </cell>
          <cell r="G332">
            <v>4.2852221494262903E-6</v>
          </cell>
          <cell r="H332">
            <v>1.8733965355702199E-4</v>
          </cell>
          <cell r="I332">
            <v>1.9616292565367201E-4</v>
          </cell>
        </row>
        <row r="333">
          <cell r="A333" t="str">
            <v>T_B_c-BEVELC-S3</v>
          </cell>
          <cell r="B333" t="str">
            <v>VAR_cap</v>
          </cell>
          <cell r="C333" t="str">
            <v>-</v>
          </cell>
          <cell r="D333">
            <v>1.30698388025723E-6</v>
          </cell>
          <cell r="E333">
            <v>2.357335244214037E-6</v>
          </cell>
          <cell r="F333">
            <v>3.4747258030472099E-6</v>
          </cell>
          <cell r="G333">
            <v>6.5346815082381303E-6</v>
          </cell>
          <cell r="H333">
            <v>2.6516341614292899E-4</v>
          </cell>
          <cell r="I333">
            <v>2.6032716993722589E-4</v>
          </cell>
        </row>
        <row r="334">
          <cell r="A334" t="str">
            <v>T_B_c-BEVELC-S4</v>
          </cell>
          <cell r="B334" t="str">
            <v>VAR_fout</v>
          </cell>
          <cell r="C334" t="str">
            <v>TPBSc</v>
          </cell>
          <cell r="E334">
            <v>1.5463528736512212E-5</v>
          </cell>
          <cell r="F334">
            <v>3.3827675169118063E-5</v>
          </cell>
          <cell r="G334">
            <v>3.5508593547655083E-5</v>
          </cell>
          <cell r="H334">
            <v>3.2739859751285328E-5</v>
          </cell>
          <cell r="I334">
            <v>8.0889592019221289E-6</v>
          </cell>
        </row>
        <row r="335">
          <cell r="A335" t="str">
            <v>T_B_c-BEVELC-S4</v>
          </cell>
          <cell r="B335" t="str">
            <v>VAR_fin</v>
          </cell>
          <cell r="C335" t="str">
            <v>T-ELC-Bus_c_BatSTGout_S4</v>
          </cell>
          <cell r="E335">
            <v>1.223048637678561E-4</v>
          </cell>
          <cell r="F335">
            <v>2.6090397522909024E-4</v>
          </cell>
          <cell r="G335">
            <v>2.5607195055718128E-4</v>
          </cell>
          <cell r="H335">
            <v>2.0690540359336715E-4</v>
          </cell>
          <cell r="I335">
            <v>4.72330202499695E-5</v>
          </cell>
        </row>
        <row r="336">
          <cell r="A336" t="str">
            <v>T_B_c-BEVELC-S4</v>
          </cell>
          <cell r="B336" t="str">
            <v>VAR_ncap</v>
          </cell>
          <cell r="C336" t="str">
            <v>-</v>
          </cell>
          <cell r="E336">
            <v>3.9379153672185502E-7</v>
          </cell>
          <cell r="F336">
            <v>3.8612513971691902E-7</v>
          </cell>
          <cell r="G336">
            <v>5.3055435136714998E-7</v>
          </cell>
          <cell r="H336">
            <v>5.4723984875367504E-7</v>
          </cell>
          <cell r="I336">
            <v>2.35972160427115E-7</v>
          </cell>
        </row>
        <row r="337">
          <cell r="A337" t="str">
            <v>T_B_c-BEVELC-S4</v>
          </cell>
          <cell r="B337" t="str">
            <v>VAR_cap</v>
          </cell>
          <cell r="C337" t="str">
            <v>-</v>
          </cell>
          <cell r="E337">
            <v>3.9379153672185502E-7</v>
          </cell>
          <cell r="F337">
            <v>7.79916676438775E-7</v>
          </cell>
          <cell r="G337">
            <v>8.8903530822490996E-7</v>
          </cell>
          <cell r="H337">
            <v>6.793013765957329E-7</v>
          </cell>
          <cell r="I337">
            <v>3.2325386436239947E-7</v>
          </cell>
        </row>
        <row r="338">
          <cell r="A338" t="str">
            <v>T_C-BAT-ELC-S1</v>
          </cell>
          <cell r="B338" t="str">
            <v>VAR_fout</v>
          </cell>
          <cell r="C338" t="str">
            <v>TPCAR</v>
          </cell>
          <cell r="D338">
            <v>1.4769109966127507E-2</v>
          </cell>
          <cell r="E338">
            <v>3.8285865021576417E-2</v>
          </cell>
          <cell r="F338">
            <v>4.7116005519598859E-2</v>
          </cell>
          <cell r="G338">
            <v>4.1306719142607098E-2</v>
          </cell>
          <cell r="H338">
            <v>6.8246054221036342E-3</v>
          </cell>
          <cell r="I338">
            <v>2.4459972470414546</v>
          </cell>
        </row>
        <row r="339">
          <cell r="A339" t="str">
            <v>T_C-BAT-ELC-S1</v>
          </cell>
          <cell r="B339" t="str">
            <v>VAR_fin</v>
          </cell>
          <cell r="C339" t="str">
            <v>T-ELC-car-BatSTGOut_S1</v>
          </cell>
          <cell r="D339">
            <v>8.1521987325013489E-3</v>
          </cell>
          <cell r="E339">
            <v>2.1132890270127117E-2</v>
          </cell>
          <cell r="F339">
            <v>2.6006918586043447E-2</v>
          </cell>
          <cell r="G339">
            <v>2.2800330162782611E-2</v>
          </cell>
          <cell r="H339">
            <v>3.5589980672495972E-3</v>
          </cell>
          <cell r="I339">
            <v>1.1111203013090361</v>
          </cell>
        </row>
        <row r="340">
          <cell r="A340" t="str">
            <v>T_C-BAT-ELC-S1</v>
          </cell>
          <cell r="B340" t="str">
            <v>VAR_ncap</v>
          </cell>
          <cell r="C340" t="str">
            <v>-</v>
          </cell>
          <cell r="D340">
            <v>1.65618171512019E-4</v>
          </cell>
          <cell r="E340">
            <v>3.4928011718164198E-3</v>
          </cell>
          <cell r="F340">
            <v>1.6576187869872601E-3</v>
          </cell>
          <cell r="G340">
            <v>4.0858718777449698E-4</v>
          </cell>
          <cell r="H340">
            <v>5.2159671816667905E-4</v>
          </cell>
          <cell r="I340">
            <v>0.43516098944877202</v>
          </cell>
        </row>
        <row r="341">
          <cell r="A341" t="str">
            <v>T_C-BAT-ELC-S1</v>
          </cell>
          <cell r="B341" t="str">
            <v>VAR_cap</v>
          </cell>
          <cell r="C341" t="str">
            <v>-</v>
          </cell>
          <cell r="D341">
            <v>1.6370231545952446E-3</v>
          </cell>
          <cell r="E341">
            <v>5.7392847216284678E-3</v>
          </cell>
          <cell r="F341">
            <v>7.1010872558029499E-3</v>
          </cell>
          <cell r="G341">
            <v>6.2491538337655327E-3</v>
          </cell>
          <cell r="H341">
            <v>1.0248721457321579E-3</v>
          </cell>
          <cell r="I341">
            <v>0.37172678342047305</v>
          </cell>
        </row>
        <row r="342">
          <cell r="A342" t="str">
            <v>D-TNGA</v>
          </cell>
          <cell r="B342" t="str">
            <v>VAR_fout</v>
          </cell>
          <cell r="C342" t="str">
            <v>CO2</v>
          </cell>
          <cell r="D342">
            <v>12.6065643384434</v>
          </cell>
          <cell r="E342">
            <v>3.8997492940149101</v>
          </cell>
          <cell r="F342">
            <v>8.0019768596369403</v>
          </cell>
          <cell r="G342">
            <v>0.33936831779759802</v>
          </cell>
          <cell r="H342">
            <v>0.15265419715385001</v>
          </cell>
          <cell r="I342">
            <v>3.4413815002981803E-2</v>
          </cell>
        </row>
        <row r="343">
          <cell r="A343" t="str">
            <v>D-TNGA</v>
          </cell>
          <cell r="B343" t="str">
            <v>VAR_fout</v>
          </cell>
          <cell r="C343" t="str">
            <v>TNGA</v>
          </cell>
          <cell r="D343">
            <v>0.2415324049911079</v>
          </cell>
          <cell r="E343">
            <v>7.7545723285726745E-2</v>
          </cell>
          <cell r="F343">
            <v>0.1557065457163552</v>
          </cell>
          <cell r="G343">
            <v>6.4730012695975265E-3</v>
          </cell>
          <cell r="H343">
            <v>3.9892386996768963E-3</v>
          </cell>
          <cell r="I343">
            <v>1.3506310367572027E-3</v>
          </cell>
        </row>
        <row r="344">
          <cell r="A344" t="str">
            <v>D-TNGA</v>
          </cell>
          <cell r="B344" t="str">
            <v>VAR_fin</v>
          </cell>
          <cell r="C344" t="str">
            <v>NGA</v>
          </cell>
          <cell r="D344">
            <v>0.22352064429864218</v>
          </cell>
          <cell r="E344">
            <v>6.9144491028633098E-2</v>
          </cell>
          <cell r="F344">
            <v>0.14187902233398836</v>
          </cell>
          <cell r="G344">
            <v>6.0171687552765651E-3</v>
          </cell>
          <cell r="H344">
            <v>2.7066347013093919E-3</v>
          </cell>
          <cell r="I344">
            <v>6.1017402487556396E-4</v>
          </cell>
        </row>
        <row r="345">
          <cell r="A345" t="str">
            <v>D-TNGA</v>
          </cell>
          <cell r="B345" t="str">
            <v>VAR_fin</v>
          </cell>
          <cell r="C345" t="str">
            <v>BNGA</v>
          </cell>
          <cell r="D345">
            <v>1.8782198985898332E-2</v>
          </cell>
          <cell r="E345">
            <v>7.7310689369400071E-3</v>
          </cell>
          <cell r="F345">
            <v>1.3200654167358161E-2</v>
          </cell>
          <cell r="G345">
            <v>3.5786929063148071E-4</v>
          </cell>
          <cell r="H345">
            <v>1.2395477333930708E-3</v>
          </cell>
          <cell r="I345">
            <v>6.9904213936203654E-4</v>
          </cell>
        </row>
        <row r="346">
          <cell r="A346" t="str">
            <v>D-TNGA</v>
          </cell>
          <cell r="B346" t="str">
            <v>VAR_fin</v>
          </cell>
          <cell r="C346" t="str">
            <v>H2</v>
          </cell>
          <cell r="E346">
            <v>9.1751809937452172E-4</v>
          </cell>
          <cell r="F346">
            <v>1.1235408121901486E-3</v>
          </cell>
          <cell r="G346">
            <v>1.1841374040607421E-4</v>
          </cell>
          <cell r="H346">
            <v>5.5781109311523239E-5</v>
          </cell>
          <cell r="I346">
            <v>4.5723105491715057E-5</v>
          </cell>
        </row>
        <row r="347">
          <cell r="A347" t="str">
            <v>D-TNGA</v>
          </cell>
          <cell r="B347" t="str">
            <v>VAR_ncap</v>
          </cell>
          <cell r="C347" t="str">
            <v>-</v>
          </cell>
          <cell r="D347">
            <v>2.9351760741019299E-6</v>
          </cell>
          <cell r="E347">
            <v>3.0366958442334701E-7</v>
          </cell>
          <cell r="F347">
            <v>3.3879329172486798E-7</v>
          </cell>
          <cell r="G347">
            <v>3.9953336031717799E-7</v>
          </cell>
          <cell r="H347">
            <v>8.1399863893028304E-7</v>
          </cell>
          <cell r="I347">
            <v>1.3696867825449199E-6</v>
          </cell>
        </row>
        <row r="348">
          <cell r="A348" t="str">
            <v>D-TNGA</v>
          </cell>
          <cell r="B348" t="str">
            <v>VAR_cap</v>
          </cell>
          <cell r="C348" t="str">
            <v>-</v>
          </cell>
          <cell r="D348">
            <v>0.9596206282577181</v>
          </cell>
          <cell r="E348">
            <v>0.95962093192730258</v>
          </cell>
          <cell r="F348">
            <v>0.95962127072059422</v>
          </cell>
          <cell r="G348">
            <v>0.95962167025395462</v>
          </cell>
          <cell r="H348">
            <v>0.95962311714075466</v>
          </cell>
          <cell r="I348">
            <v>0.48126014318148119</v>
          </cell>
        </row>
        <row r="349">
          <cell r="A349" t="str">
            <v>T_C-BAT-ELC-S2</v>
          </cell>
          <cell r="B349" t="str">
            <v>VAR_fout</v>
          </cell>
          <cell r="C349" t="str">
            <v>TPCAR</v>
          </cell>
          <cell r="D349">
            <v>9.6903498014576331E-2</v>
          </cell>
          <cell r="E349">
            <v>0.1529882359191099</v>
          </cell>
          <cell r="F349">
            <v>0.18906412273654843</v>
          </cell>
          <cell r="G349">
            <v>0.17762865983201021</v>
          </cell>
          <cell r="H349">
            <v>14.789924156190299</v>
          </cell>
          <cell r="I349">
            <v>18.045434016885356</v>
          </cell>
        </row>
        <row r="350">
          <cell r="A350" t="str">
            <v>T_C-BAT-ELC-S2</v>
          </cell>
          <cell r="B350" t="str">
            <v>VAR_fin</v>
          </cell>
          <cell r="C350" t="str">
            <v>T-ELC-car-BatSTGOut_S2</v>
          </cell>
          <cell r="D350">
            <v>6.6200036023657122E-2</v>
          </cell>
          <cell r="E350">
            <v>0.10451456280264873</v>
          </cell>
          <cell r="F350">
            <v>0.12915995802399141</v>
          </cell>
          <cell r="G350">
            <v>0.12134777299725727</v>
          </cell>
          <cell r="H350">
            <v>9.4174606599519564</v>
          </cell>
          <cell r="I350">
            <v>10.469589946990725</v>
          </cell>
        </row>
        <row r="351">
          <cell r="A351" t="str">
            <v>T_C-BAT-ELC-S2</v>
          </cell>
          <cell r="B351" t="str">
            <v>VAR_ncap</v>
          </cell>
          <cell r="C351" t="str">
            <v>-</v>
          </cell>
          <cell r="D351">
            <v>9.7121880315283906E-5</v>
          </cell>
          <cell r="E351">
            <v>4.3274785364663199E-4</v>
          </cell>
          <cell r="F351">
            <v>3.1600110470808699E-3</v>
          </cell>
          <cell r="G351">
            <v>1.6560451613904399E-3</v>
          </cell>
          <cell r="H351">
            <v>0.62344791788256304</v>
          </cell>
          <cell r="I351">
            <v>1.53140775136666</v>
          </cell>
        </row>
        <row r="352">
          <cell r="A352" t="str">
            <v>T_C-BAT-ELC-S2</v>
          </cell>
          <cell r="B352" t="str">
            <v>VAR_cap</v>
          </cell>
          <cell r="C352" t="str">
            <v>-</v>
          </cell>
          <cell r="D352">
            <v>7.3832026623231618E-3</v>
          </cell>
          <cell r="E352">
            <v>1.171027937163519E-2</v>
          </cell>
          <cell r="F352">
            <v>1.4365771529368453E-2</v>
          </cell>
          <cell r="G352">
            <v>1.3483170984679394E-2</v>
          </cell>
          <cell r="H352">
            <v>1.5581659167150885</v>
          </cell>
          <cell r="I352">
            <v>1.9033485129480139</v>
          </cell>
        </row>
        <row r="353">
          <cell r="A353" t="str">
            <v>TFLGV-BeVELCExt</v>
          </cell>
          <cell r="B353" t="str">
            <v>VAR_fout</v>
          </cell>
          <cell r="C353" t="str">
            <v>TFLGV</v>
          </cell>
          <cell r="D353">
            <v>2.7802992156727064E-2</v>
          </cell>
          <cell r="E353">
            <v>8.5575049017965945E-3</v>
          </cell>
          <cell r="F353">
            <v>1.8551668585317819E-2</v>
          </cell>
          <cell r="G353">
            <v>9.2708534551636836E-3</v>
          </cell>
        </row>
        <row r="354">
          <cell r="A354" t="str">
            <v>TFLGV-BeVELCExt</v>
          </cell>
          <cell r="B354" t="str">
            <v>VAR_fin</v>
          </cell>
          <cell r="C354" t="str">
            <v>TELC</v>
          </cell>
          <cell r="D354">
            <v>4.0339626030339609E-2</v>
          </cell>
          <cell r="E354">
            <v>1.2301514845334857E-2</v>
          </cell>
          <cell r="F354">
            <v>2.6303909490806351E-2</v>
          </cell>
          <cell r="G354">
            <v>1.3144892550535907E-2</v>
          </cell>
        </row>
        <row r="355">
          <cell r="A355" t="str">
            <v>TFLGV-BeVELCExt</v>
          </cell>
          <cell r="B355" t="str">
            <v>VAR_cap</v>
          </cell>
          <cell r="C355" t="str">
            <v>-</v>
          </cell>
          <cell r="D355">
            <v>1.9499999999999999E-3</v>
          </cell>
          <cell r="E355">
            <v>1.6900000000000001E-3</v>
          </cell>
          <cell r="F355">
            <v>1.2999999999999999E-3</v>
          </cell>
          <cell r="G355">
            <v>6.4999999999999997E-4</v>
          </cell>
        </row>
        <row r="356">
          <cell r="A356" t="str">
            <v>T_C-BAT-ELC-S3</v>
          </cell>
          <cell r="B356" t="str">
            <v>VAR_fout</v>
          </cell>
          <cell r="C356" t="str">
            <v>TPCAR</v>
          </cell>
          <cell r="D356">
            <v>6.0765256428261152E-2</v>
          </cell>
          <cell r="E356">
            <v>0.12773261220132245</v>
          </cell>
          <cell r="F356">
            <v>0.15704232530680265</v>
          </cell>
          <cell r="G356">
            <v>5.1259591511033165</v>
          </cell>
          <cell r="H356">
            <v>10.892094032843746</v>
          </cell>
          <cell r="I356">
            <v>15.446558388729743</v>
          </cell>
        </row>
        <row r="357">
          <cell r="A357" t="str">
            <v>T_C-BAT-ELC-S3</v>
          </cell>
          <cell r="B357" t="str">
            <v>VAR_fin</v>
          </cell>
          <cell r="C357" t="str">
            <v>T-ELC-car-BatSTGOut_S3</v>
          </cell>
          <cell r="D357">
            <v>4.5433573303671343E-2</v>
          </cell>
          <cell r="E357">
            <v>9.5504394136303725E-2</v>
          </cell>
          <cell r="F357">
            <v>0.11741897291306777</v>
          </cell>
          <cell r="G357">
            <v>3.8326282901188087</v>
          </cell>
          <cell r="H357">
            <v>7.5616396905095318</v>
          </cell>
          <cell r="I357">
            <v>9.6073817386932081</v>
          </cell>
        </row>
        <row r="358">
          <cell r="A358" t="str">
            <v>T_C-BAT-ELC-S3</v>
          </cell>
          <cell r="B358" t="str">
            <v>VAR_ncap</v>
          </cell>
          <cell r="C358" t="str">
            <v>-</v>
          </cell>
          <cell r="D358">
            <v>9.5817688532259305E-5</v>
          </cell>
          <cell r="E358">
            <v>2.6243656443715501E-3</v>
          </cell>
          <cell r="F358">
            <v>2.4026511314938202E-3</v>
          </cell>
          <cell r="G358">
            <v>0.36231147106655798</v>
          </cell>
          <cell r="H358">
            <v>0.509773959571996</v>
          </cell>
          <cell r="I358">
            <v>0.997103537915905</v>
          </cell>
        </row>
        <row r="359">
          <cell r="A359" t="str">
            <v>T_C-BAT-ELC-S3</v>
          </cell>
          <cell r="B359" t="str">
            <v>VAR_cap</v>
          </cell>
          <cell r="C359" t="str">
            <v>-</v>
          </cell>
          <cell r="D359">
            <v>4.3161324597073376E-3</v>
          </cell>
          <cell r="E359">
            <v>8.8096412447921588E-3</v>
          </cell>
          <cell r="F359">
            <v>1.0837336482986975E-2</v>
          </cell>
          <cell r="G359">
            <v>0.35246819305412186</v>
          </cell>
          <cell r="H359">
            <v>0.74894366623219377</v>
          </cell>
          <cell r="I359">
            <v>1.1441986654613199</v>
          </cell>
        </row>
        <row r="360">
          <cell r="A360" t="str">
            <v>T_C-BAT-ELC-S4</v>
          </cell>
          <cell r="B360" t="str">
            <v>VAR_fout</v>
          </cell>
          <cell r="C360" t="str">
            <v>TPCAR</v>
          </cell>
          <cell r="D360">
            <v>0.19417554976353174</v>
          </cell>
          <cell r="E360">
            <v>1.3462062879672088</v>
          </cell>
          <cell r="F360">
            <v>4.5814294814777199</v>
          </cell>
          <cell r="G360">
            <v>4.9435328638472171</v>
          </cell>
          <cell r="H360">
            <v>20.272465070323538</v>
          </cell>
          <cell r="I360">
            <v>23.565169981157503</v>
          </cell>
        </row>
        <row r="361">
          <cell r="A361" t="str">
            <v>T_C-BAT-ELC-S4</v>
          </cell>
          <cell r="B361" t="str">
            <v>VAR_fin</v>
          </cell>
          <cell r="C361" t="str">
            <v>T-ELC-car-BatSTGOut_S4</v>
          </cell>
          <cell r="D361">
            <v>0.14994564460256216</v>
          </cell>
          <cell r="E361">
            <v>1.0395632707778568</v>
          </cell>
          <cell r="F361">
            <v>3.5378573545327892</v>
          </cell>
          <cell r="G361">
            <v>3.8174797124881819</v>
          </cell>
          <cell r="H361">
            <v>14.606582750682453</v>
          </cell>
          <cell r="I361">
            <v>15.461420117211118</v>
          </cell>
        </row>
        <row r="362">
          <cell r="A362" t="str">
            <v>T_C-BAT-ELC-S4</v>
          </cell>
          <cell r="B362" t="str">
            <v>VAR_ncap</v>
          </cell>
          <cell r="C362" t="str">
            <v>-</v>
          </cell>
          <cell r="D362">
            <v>1.72723450242886E-4</v>
          </cell>
          <cell r="E362">
            <v>7.8989612672504303E-2</v>
          </cell>
          <cell r="F362">
            <v>0.26390696600239699</v>
          </cell>
          <cell r="G362">
            <v>8.3489883421344294E-2</v>
          </cell>
          <cell r="H362">
            <v>0.82322834320150196</v>
          </cell>
          <cell r="I362">
            <v>1.8008600894936</v>
          </cell>
        </row>
        <row r="363">
          <cell r="A363" t="str">
            <v>T_C-BAT-ELC-S4</v>
          </cell>
          <cell r="B363" t="str">
            <v>VAR_cap</v>
          </cell>
          <cell r="C363" t="str">
            <v>-</v>
          </cell>
          <cell r="D363">
            <v>1.5375020684245781E-2</v>
          </cell>
          <cell r="E363">
            <v>0.10603937201187216</v>
          </cell>
          <cell r="F363">
            <v>0.36081718736731078</v>
          </cell>
          <cell r="G363">
            <v>0.3893013389926096</v>
          </cell>
          <cell r="H363">
            <v>1.5998715326410711</v>
          </cell>
          <cell r="I363">
            <v>2.1748258018992837</v>
          </cell>
        </row>
        <row r="364">
          <cell r="A364" t="str">
            <v>T_B_c-ICENGA-S1</v>
          </cell>
          <cell r="B364" t="str">
            <v>VAR_fout</v>
          </cell>
          <cell r="C364" t="str">
            <v>CO2_T</v>
          </cell>
          <cell r="E364">
            <v>4.3751060103341096E-3</v>
          </cell>
          <cell r="F364">
            <v>4.3780438364732811E-2</v>
          </cell>
          <cell r="H364">
            <v>7.2962838660533397E-4</v>
          </cell>
          <cell r="I364">
            <v>2.35636923487532E-4</v>
          </cell>
        </row>
        <row r="365">
          <cell r="A365" t="str">
            <v>T_B_c-ICENGA-S1</v>
          </cell>
          <cell r="B365" t="str">
            <v>VAR_fout</v>
          </cell>
          <cell r="C365" t="str">
            <v>TPBSc</v>
          </cell>
          <cell r="E365">
            <v>9.3271612645249515E-6</v>
          </cell>
          <cell r="F365">
            <v>9.7745617388918344E-5</v>
          </cell>
          <cell r="H365">
            <v>1.9543448489180678E-6</v>
          </cell>
          <cell r="I365">
            <v>7.0223409636883091E-7</v>
          </cell>
        </row>
        <row r="366">
          <cell r="A366" t="str">
            <v>T_B_c-ICENGA-S1</v>
          </cell>
          <cell r="B366" t="str">
            <v>VAR_fin</v>
          </cell>
          <cell r="C366" t="str">
            <v>TNGA</v>
          </cell>
          <cell r="E366">
            <v>7.7572801601668583E-5</v>
          </cell>
          <cell r="F366">
            <v>7.7624890717611363E-4</v>
          </cell>
          <cell r="H366">
            <v>1.2936673521371172E-5</v>
          </cell>
          <cell r="I366">
            <v>4.1779596363037614E-6</v>
          </cell>
        </row>
        <row r="367">
          <cell r="A367" t="str">
            <v>T_B_c-ICENGA-S1</v>
          </cell>
          <cell r="B367" t="str">
            <v>VAR_ncap</v>
          </cell>
          <cell r="C367" t="str">
            <v>-</v>
          </cell>
          <cell r="E367">
            <v>2.79272609673009E-7</v>
          </cell>
          <cell r="F367">
            <v>1.9587208229178101E-6</v>
          </cell>
          <cell r="G367">
            <v>1.26497805775979E-8</v>
          </cell>
          <cell r="H367">
            <v>3.7860557895198303E-8</v>
          </cell>
          <cell r="I367">
            <v>3.8228149779740899E-8</v>
          </cell>
        </row>
        <row r="368">
          <cell r="A368" t="str">
            <v>T_B_c-ICENGA-S1</v>
          </cell>
          <cell r="B368" t="str">
            <v>VAR_cap</v>
          </cell>
          <cell r="C368" t="str">
            <v>-</v>
          </cell>
          <cell r="E368">
            <v>2.79272609673009E-7</v>
          </cell>
          <cell r="F368">
            <v>2.2379934325908202E-6</v>
          </cell>
          <cell r="G368">
            <v>2.3181529160369874E-8</v>
          </cell>
          <cell r="H368">
            <v>5.9077780719172302E-8</v>
          </cell>
          <cell r="I368">
            <v>6.0545609673462201E-8</v>
          </cell>
        </row>
        <row r="369">
          <cell r="A369" t="str">
            <v>TFLGV-FCLH2O</v>
          </cell>
          <cell r="B369" t="str">
            <v>VAR_fout</v>
          </cell>
          <cell r="C369" t="str">
            <v>TFLGV</v>
          </cell>
          <cell r="E369">
            <v>8.4675343481774149E-5</v>
          </cell>
          <cell r="F369">
            <v>1.0614905414285155E-4</v>
          </cell>
          <cell r="H369">
            <v>2.9004242982732173E-5</v>
          </cell>
          <cell r="I369">
            <v>3.0785686437410884E-5</v>
          </cell>
        </row>
        <row r="370">
          <cell r="A370" t="str">
            <v>TFLGV-FCLH2O</v>
          </cell>
          <cell r="B370" t="str">
            <v>VAR_fin</v>
          </cell>
          <cell r="C370" t="str">
            <v>TH2O</v>
          </cell>
          <cell r="E370">
            <v>1.8205701723063303E-4</v>
          </cell>
          <cell r="F370">
            <v>2.252953230857436E-4</v>
          </cell>
          <cell r="H370">
            <v>5.1639777220919383E-5</v>
          </cell>
          <cell r="I370">
            <v>5.19332844072499E-5</v>
          </cell>
        </row>
        <row r="371">
          <cell r="A371" t="str">
            <v>TFLGV-FCLH2O</v>
          </cell>
          <cell r="B371" t="str">
            <v>VAR_ncap</v>
          </cell>
          <cell r="C371" t="str">
            <v>-</v>
          </cell>
          <cell r="E371">
            <v>6.2398013710660601E-6</v>
          </cell>
          <cell r="F371">
            <v>2.1784988328161802E-6</v>
          </cell>
          <cell r="G371">
            <v>1.1015402843822399E-6</v>
          </cell>
          <cell r="H371">
            <v>1.00296998277472E-6</v>
          </cell>
          <cell r="I371">
            <v>1.43091144684044E-6</v>
          </cell>
        </row>
        <row r="372">
          <cell r="A372" t="str">
            <v>TFLGV-FCLH2O</v>
          </cell>
          <cell r="B372" t="str">
            <v>VAR_cap</v>
          </cell>
          <cell r="C372" t="str">
            <v>-</v>
          </cell>
          <cell r="E372">
            <v>6.2398013710660601E-6</v>
          </cell>
          <cell r="F372">
            <v>8.4047027996338338E-6</v>
          </cell>
          <cell r="G372">
            <v>2.2252932923227004E-6</v>
          </cell>
          <cell r="H372">
            <v>2.0965609602836212E-6</v>
          </cell>
          <cell r="I372">
            <v>2.1180209812854701E-6</v>
          </cell>
        </row>
        <row r="373">
          <cell r="A373" t="str">
            <v>T_B_c-ICENGA-S2</v>
          </cell>
          <cell r="B373" t="str">
            <v>VAR_fout</v>
          </cell>
          <cell r="C373" t="str">
            <v>CO2_T</v>
          </cell>
          <cell r="E373">
            <v>3.6084711500512399E-3</v>
          </cell>
          <cell r="F373">
            <v>5.0043956314390708E-2</v>
          </cell>
          <cell r="H373">
            <v>8.3098118155436503E-4</v>
          </cell>
        </row>
        <row r="374">
          <cell r="A374" t="str">
            <v>T_B_c-ICENGA-S2</v>
          </cell>
          <cell r="B374" t="str">
            <v>VAR_fout</v>
          </cell>
          <cell r="C374" t="str">
            <v>TPBSc</v>
          </cell>
          <cell r="E374">
            <v>5.4381756365041396E-6</v>
          </cell>
          <cell r="F374">
            <v>7.8965030695455238E-5</v>
          </cell>
          <cell r="H374">
            <v>1.5229865637324549E-6</v>
          </cell>
        </row>
        <row r="375">
          <cell r="A375" t="str">
            <v>T_B_c-ICENGA-S2</v>
          </cell>
          <cell r="B375" t="str">
            <v>VAR_fin</v>
          </cell>
          <cell r="C375" t="str">
            <v>TNGA</v>
          </cell>
          <cell r="E375">
            <v>6.3979984929986519E-5</v>
          </cell>
          <cell r="F375">
            <v>8.873041899714664E-4</v>
          </cell>
          <cell r="H375">
            <v>1.4733708892807895E-5</v>
          </cell>
        </row>
        <row r="376">
          <cell r="A376" t="str">
            <v>T_B_c-ICENGA-S2</v>
          </cell>
          <cell r="B376" t="str">
            <v>VAR_ncap</v>
          </cell>
          <cell r="C376" t="str">
            <v>-</v>
          </cell>
          <cell r="E376">
            <v>1.37816590230863E-7</v>
          </cell>
          <cell r="F376">
            <v>1.5838109846134501E-6</v>
          </cell>
          <cell r="G376">
            <v>1.0199607484119801E-8</v>
          </cell>
          <cell r="H376">
            <v>1.9852713173001699E-8</v>
          </cell>
          <cell r="I376">
            <v>1.8387386233684801E-8</v>
          </cell>
        </row>
        <row r="377">
          <cell r="A377" t="str">
            <v>T_B_c-ICENGA-S2</v>
          </cell>
          <cell r="B377" t="str">
            <v>VAR_cap</v>
          </cell>
          <cell r="C377" t="str">
            <v>-</v>
          </cell>
          <cell r="E377">
            <v>1.37816590230863E-7</v>
          </cell>
          <cell r="F377">
            <v>1.72162757484431E-6</v>
          </cell>
          <cell r="G377">
            <v>2.0482213966599922E-8</v>
          </cell>
          <cell r="H377">
            <v>1.8507239713512002E-8</v>
          </cell>
          <cell r="I377">
            <v>3.0562347787610801E-8</v>
          </cell>
        </row>
        <row r="378">
          <cell r="A378" t="str">
            <v>T_B_u-ICEDSL-S1</v>
          </cell>
          <cell r="B378" t="str">
            <v>VAR_fout</v>
          </cell>
          <cell r="C378" t="str">
            <v>CO2_T</v>
          </cell>
          <cell r="D378">
            <v>2.3120092395065052E-2</v>
          </cell>
          <cell r="E378">
            <v>16.324077032409651</v>
          </cell>
          <cell r="F378">
            <v>30.90800095123295</v>
          </cell>
          <cell r="G378">
            <v>3.24389393396646E-3</v>
          </cell>
          <cell r="H378">
            <v>1.485473134901836E-3</v>
          </cell>
          <cell r="I378">
            <v>7.79610039524993E-4</v>
          </cell>
        </row>
        <row r="379">
          <cell r="A379" t="str">
            <v>T_B_u-ICEDSL-S1</v>
          </cell>
          <cell r="B379" t="str">
            <v>VAR_fout</v>
          </cell>
          <cell r="C379" t="str">
            <v>TPBSu</v>
          </cell>
          <cell r="D379">
            <v>3.9086256504710611E-5</v>
          </cell>
          <cell r="E379">
            <v>2.8619268742089036E-2</v>
          </cell>
          <cell r="F379">
            <v>5.5560757309072881E-2</v>
          </cell>
          <cell r="G379">
            <v>5.4840468718953357E-6</v>
          </cell>
          <cell r="H379">
            <v>3.2586191425156027E-6</v>
          </cell>
          <cell r="I379">
            <v>1.8482372149658973E-6</v>
          </cell>
        </row>
        <row r="380">
          <cell r="A380" t="str">
            <v>T_B_u-ICEDSL-S1</v>
          </cell>
          <cell r="B380" t="str">
            <v>VAR_fin</v>
          </cell>
          <cell r="C380" t="str">
            <v>TDSL</v>
          </cell>
          <cell r="D380">
            <v>3.1541735873212904E-4</v>
          </cell>
          <cell r="E380">
            <v>0.22270227875047349</v>
          </cell>
          <cell r="F380">
            <v>0.42166440588312376</v>
          </cell>
          <cell r="G380">
            <v>4.4255033205545114E-5</v>
          </cell>
          <cell r="H380">
            <v>2.0265663504799944E-5</v>
          </cell>
          <cell r="I380">
            <v>1.0635880484652023E-5</v>
          </cell>
        </row>
        <row r="381">
          <cell r="A381" t="str">
            <v>T_B_u-ICEDSL-S1</v>
          </cell>
          <cell r="B381" t="str">
            <v>VAR_ncap</v>
          </cell>
          <cell r="C381" t="str">
            <v>-</v>
          </cell>
          <cell r="E381">
            <v>5.3943451926415705E-4</v>
          </cell>
          <cell r="F381">
            <v>5.0843527266735702E-4</v>
          </cell>
          <cell r="H381">
            <v>6.3755519855449299E-8</v>
          </cell>
          <cell r="I381">
            <v>6.0299779885720194E-8</v>
          </cell>
        </row>
        <row r="382">
          <cell r="A382" t="str">
            <v>T_B_u-ICEDSL-S1</v>
          </cell>
          <cell r="B382" t="str">
            <v>VAR_cap</v>
          </cell>
          <cell r="C382" t="str">
            <v>-</v>
          </cell>
          <cell r="D382">
            <v>7.0464135021097004E-7</v>
          </cell>
          <cell r="E382">
            <v>5.4026644612772945E-4</v>
          </cell>
          <cell r="F382">
            <v>1.0486780841364762E-3</v>
          </cell>
          <cell r="G382">
            <v>6.8500108445310876E-8</v>
          </cell>
          <cell r="H382">
            <v>9.3851239752932104E-8</v>
          </cell>
          <cell r="I382">
            <v>9.7554967202418099E-8</v>
          </cell>
        </row>
        <row r="383">
          <cell r="A383" t="str">
            <v>T_B_c-ICENGA-S3</v>
          </cell>
          <cell r="B383" t="str">
            <v>VAR_fout</v>
          </cell>
          <cell r="C383" t="str">
            <v>CO2_T</v>
          </cell>
          <cell r="E383">
            <v>2.83863913138025E-3</v>
          </cell>
          <cell r="F383">
            <v>2.9044831828745392E-2</v>
          </cell>
          <cell r="G383">
            <v>1.7665493444703599E-4</v>
          </cell>
          <cell r="H383">
            <v>9.8857581783485301E-4</v>
          </cell>
        </row>
        <row r="384">
          <cell r="A384" t="str">
            <v>T_B_c-ICENGA-S3</v>
          </cell>
          <cell r="B384" t="str">
            <v>VAR_fout</v>
          </cell>
          <cell r="C384" t="str">
            <v>TPBSc</v>
          </cell>
          <cell r="E384">
            <v>2.8397531191316778E-6</v>
          </cell>
          <cell r="F384">
            <v>3.0354293026367745E-5</v>
          </cell>
          <cell r="G384">
            <v>1.7672426042476522E-7</v>
          </cell>
          <cell r="H384">
            <v>1.234822173423154E-6</v>
          </cell>
        </row>
        <row r="385">
          <cell r="A385" t="str">
            <v>T_B_c-ICENGA-S3</v>
          </cell>
          <cell r="B385" t="str">
            <v>VAR_fin</v>
          </cell>
          <cell r="C385" t="str">
            <v>TNGA</v>
          </cell>
          <cell r="E385">
            <v>5.0330481052841259E-5</v>
          </cell>
          <cell r="F385">
            <v>5.1497928774371193E-4</v>
          </cell>
          <cell r="G385">
            <v>3.1321796887772326E-6</v>
          </cell>
          <cell r="H385">
            <v>1.7527940032532853E-5</v>
          </cell>
        </row>
        <row r="386">
          <cell r="A386" t="str">
            <v>T_B_c-ICENGA-S3</v>
          </cell>
          <cell r="B386" t="str">
            <v>VAR_ncap</v>
          </cell>
          <cell r="C386" t="str">
            <v>-</v>
          </cell>
          <cell r="E386">
            <v>9.3216567976823195E-8</v>
          </cell>
          <cell r="F386">
            <v>5.9454200879259605E-7</v>
          </cell>
          <cell r="G386">
            <v>1.5977233339575799E-8</v>
          </cell>
          <cell r="H386">
            <v>3.8878122762376099E-8</v>
          </cell>
          <cell r="I386">
            <v>1.9282573570590799E-8</v>
          </cell>
        </row>
        <row r="387">
          <cell r="A387" t="str">
            <v>T_B_c-ICENGA-S3</v>
          </cell>
          <cell r="B387" t="str">
            <v>VAR_cap</v>
          </cell>
          <cell r="C387" t="str">
            <v>-</v>
          </cell>
          <cell r="E387">
            <v>9.3216567976823195E-8</v>
          </cell>
          <cell r="F387">
            <v>6.8775857676941898E-7</v>
          </cell>
          <cell r="G387">
            <v>4.6337178175380988E-8</v>
          </cell>
          <cell r="H387">
            <v>6.0254820288213206E-8</v>
          </cell>
          <cell r="I387">
            <v>3.2599156650239503E-8</v>
          </cell>
        </row>
        <row r="388">
          <cell r="A388" t="str">
            <v>T_B_u-ICEDSL-S2</v>
          </cell>
          <cell r="B388" t="str">
            <v>VAR_fout</v>
          </cell>
          <cell r="C388" t="str">
            <v>CO2_T</v>
          </cell>
          <cell r="D388">
            <v>7.8762960663709194</v>
          </cell>
          <cell r="E388">
            <v>9.9385898968269881</v>
          </cell>
          <cell r="F388">
            <v>17.078608950728359</v>
          </cell>
          <cell r="H388">
            <v>7.9694112366098099E-4</v>
          </cell>
        </row>
        <row r="389">
          <cell r="A389" t="str">
            <v>T_B_u-ICEDSL-S2</v>
          </cell>
          <cell r="B389" t="str">
            <v>VAR_fout</v>
          </cell>
          <cell r="C389" t="str">
            <v>TPBSu</v>
          </cell>
          <cell r="D389">
            <v>9.3984571798143256E-3</v>
          </cell>
          <cell r="E389">
            <v>1.1906382285226846E-2</v>
          </cell>
          <cell r="F389">
            <v>2.1167653272330968E-2</v>
          </cell>
          <cell r="H389">
            <v>1.2333292440692385E-6</v>
          </cell>
        </row>
        <row r="390">
          <cell r="A390" t="str">
            <v>T_B_u-ICEDSL-S2</v>
          </cell>
          <cell r="B390" t="str">
            <v>VAR_fin</v>
          </cell>
          <cell r="C390" t="str">
            <v>TDSL</v>
          </cell>
          <cell r="D390">
            <v>0.10745287948664289</v>
          </cell>
          <cell r="E390">
            <v>0.13558785670978138</v>
          </cell>
          <cell r="F390">
            <v>0.23299602934145131</v>
          </cell>
          <cell r="H390">
            <v>1.0872320923069315E-5</v>
          </cell>
        </row>
        <row r="391">
          <cell r="A391" t="str">
            <v>T_B_u-ICEDSL-S2</v>
          </cell>
          <cell r="B391" t="str">
            <v>VAR_ncap</v>
          </cell>
          <cell r="C391" t="str">
            <v>-</v>
          </cell>
          <cell r="E391">
            <v>9.4901370184867096E-6</v>
          </cell>
          <cell r="F391">
            <v>1.72391798718589E-4</v>
          </cell>
          <cell r="H391">
            <v>2.6288730221460402E-8</v>
          </cell>
          <cell r="I391">
            <v>2.22638332719037E-8</v>
          </cell>
        </row>
        <row r="392">
          <cell r="A392" t="str">
            <v>T_B_u-ICEDSL-S2</v>
          </cell>
          <cell r="B392" t="str">
            <v>VAR_cap</v>
          </cell>
          <cell r="C392" t="str">
            <v>-</v>
          </cell>
          <cell r="D392">
            <v>1.8429965347889328E-4</v>
          </cell>
          <cell r="E392">
            <v>2.2702170817018836E-4</v>
          </cell>
          <cell r="F392">
            <v>3.9971125801905032E-4</v>
          </cell>
          <cell r="G392">
            <v>-1.6938038860001784E-8</v>
          </cell>
          <cell r="H392">
            <v>2.6288730221460402E-8</v>
          </cell>
          <cell r="I392">
            <v>3.5447770544733903E-8</v>
          </cell>
        </row>
        <row r="393">
          <cell r="A393" t="str">
            <v>T_B_c-ICENGA-S4</v>
          </cell>
          <cell r="B393" t="str">
            <v>VAR_fout</v>
          </cell>
          <cell r="C393" t="str">
            <v>CO2_T</v>
          </cell>
          <cell r="E393">
            <v>2.11890588017534E-4</v>
          </cell>
          <cell r="F393">
            <v>6.5659649198758002E-3</v>
          </cell>
          <cell r="H393">
            <v>2.5688221025084203E-3</v>
          </cell>
        </row>
        <row r="394">
          <cell r="A394" t="str">
            <v>T_B_c-ICENGA-S4</v>
          </cell>
          <cell r="B394" t="str">
            <v>VAR_fout</v>
          </cell>
          <cell r="C394" t="str">
            <v>TPBSc</v>
          </cell>
          <cell r="E394">
            <v>1.4159535105703763E-7</v>
          </cell>
          <cell r="F394">
            <v>4.5632719735236771E-6</v>
          </cell>
          <cell r="H394">
            <v>2.121742657582621E-6</v>
          </cell>
        </row>
        <row r="395">
          <cell r="A395" t="str">
            <v>T_B_c-ICENGA-S4</v>
          </cell>
          <cell r="B395" t="str">
            <v>VAR_fin</v>
          </cell>
          <cell r="C395" t="str">
            <v>TNGA</v>
          </cell>
          <cell r="E395">
            <v>3.7569253194598271E-6</v>
          </cell>
          <cell r="F395">
            <v>1.1641781772829424E-4</v>
          </cell>
          <cell r="H395">
            <v>4.5546491179227378E-5</v>
          </cell>
        </row>
        <row r="396">
          <cell r="A396" t="str">
            <v>T_B_c-ICENGA-S4</v>
          </cell>
          <cell r="B396" t="str">
            <v>VAR_ncap</v>
          </cell>
          <cell r="C396" t="str">
            <v>-</v>
          </cell>
          <cell r="E396">
            <v>2.07507414687344E-8</v>
          </cell>
          <cell r="F396">
            <v>6.6751214010032902E-8</v>
          </cell>
        </row>
        <row r="397">
          <cell r="A397" t="str">
            <v>T_B_c-ICENGA-S4</v>
          </cell>
          <cell r="B397" t="str">
            <v>VAR_cap</v>
          </cell>
          <cell r="C397" t="str">
            <v>-</v>
          </cell>
          <cell r="E397">
            <v>2.07507414687344E-8</v>
          </cell>
          <cell r="F397">
            <v>8.7501955478767302E-8</v>
          </cell>
          <cell r="G397">
            <v>9.8531150290771017E-9</v>
          </cell>
          <cell r="H397">
            <v>-3.2658540500520703E-8</v>
          </cell>
        </row>
        <row r="398">
          <cell r="A398" t="str">
            <v>T_B_u-ICEDSL-S3</v>
          </cell>
          <cell r="B398" t="str">
            <v>VAR_fout</v>
          </cell>
          <cell r="C398" t="str">
            <v>CO2_T</v>
          </cell>
          <cell r="D398">
            <v>45.719165171023349</v>
          </cell>
          <cell r="E398">
            <v>67.898372222470414</v>
          </cell>
          <cell r="F398">
            <v>98.366694916475026</v>
          </cell>
          <cell r="H398">
            <v>2.5296639186483299E-3</v>
          </cell>
        </row>
        <row r="399">
          <cell r="A399" t="str">
            <v>T_B_u-ICEDSL-S3</v>
          </cell>
          <cell r="B399" t="str">
            <v>VAR_fout</v>
          </cell>
          <cell r="C399" t="str">
            <v>TPBSu</v>
          </cell>
          <cell r="D399">
            <v>3.6144666324691141E-2</v>
          </cell>
          <cell r="E399">
            <v>5.3932372988282053E-2</v>
          </cell>
          <cell r="F399">
            <v>8.0138220305583874E-2</v>
          </cell>
          <cell r="H399">
            <v>2.5334714270241139E-6</v>
          </cell>
        </row>
        <row r="400">
          <cell r="A400" t="str">
            <v>T_B_u-ICEDSL-S3</v>
          </cell>
          <cell r="B400" t="str">
            <v>VAR_fin</v>
          </cell>
          <cell r="C400" t="str">
            <v>TDSL</v>
          </cell>
          <cell r="D400">
            <v>0.62372667354738576</v>
          </cell>
          <cell r="E400">
            <v>0.92630794300778108</v>
          </cell>
          <cell r="F400">
            <v>1.3419740097745561</v>
          </cell>
          <cell r="H400">
            <v>3.4511103937903574E-5</v>
          </cell>
        </row>
        <row r="401">
          <cell r="A401" t="str">
            <v>T_B_u-ICEDSL-S3</v>
          </cell>
          <cell r="B401" t="str">
            <v>VAR_ncap</v>
          </cell>
          <cell r="C401" t="str">
            <v>-</v>
          </cell>
          <cell r="E401">
            <v>6.6240128082971898E-5</v>
          </cell>
          <cell r="F401">
            <v>4.9261867661116304E-4</v>
          </cell>
          <cell r="I401">
            <v>1.00659515932799E-8</v>
          </cell>
        </row>
        <row r="402">
          <cell r="A402" t="str">
            <v>T_B_u-ICEDSL-S3</v>
          </cell>
          <cell r="B402" t="str">
            <v>VAR_cap</v>
          </cell>
          <cell r="C402" t="str">
            <v>-</v>
          </cell>
          <cell r="D402">
            <v>8.0617129986124245E-4</v>
          </cell>
          <cell r="E402">
            <v>1.018447007918481E-3</v>
          </cell>
          <cell r="F402">
            <v>1.511415063484571E-3</v>
          </cell>
          <cell r="G402">
            <v>-1.8694539605039993E-8</v>
          </cell>
          <cell r="H402">
            <v>-2.1469536676800898E-8</v>
          </cell>
          <cell r="I402">
            <v>1.00659515932799E-8</v>
          </cell>
        </row>
        <row r="403">
          <cell r="A403" t="str">
            <v>T_B_u-ICEDSL-S4</v>
          </cell>
          <cell r="B403" t="str">
            <v>VAR_fout</v>
          </cell>
          <cell r="C403" t="str">
            <v>CO2_T</v>
          </cell>
          <cell r="D403">
            <v>0.42544836484355697</v>
          </cell>
          <cell r="E403">
            <v>5.8622025944483416E-2</v>
          </cell>
          <cell r="F403">
            <v>7.8736032209344498E-2</v>
          </cell>
        </row>
        <row r="404">
          <cell r="A404" t="str">
            <v>T_B_u-ICEDSL-S4</v>
          </cell>
          <cell r="B404" t="str">
            <v>VAR_fout</v>
          </cell>
          <cell r="C404" t="str">
            <v>TPBSu</v>
          </cell>
          <cell r="D404">
            <v>2.2431217344419147E-4</v>
          </cell>
          <cell r="E404">
            <v>3.1124091063308541E-5</v>
          </cell>
          <cell r="F404">
            <v>4.2070904565175709E-5</v>
          </cell>
        </row>
        <row r="405">
          <cell r="A405" t="str">
            <v>T_B_u-ICEDSL-S4</v>
          </cell>
          <cell r="B405" t="str">
            <v>VAR_fin</v>
          </cell>
          <cell r="C405" t="str">
            <v>TDSL</v>
          </cell>
          <cell r="D405">
            <v>5.8042068873609444E-3</v>
          </cell>
          <cell r="E405">
            <v>7.9975478778285931E-4</v>
          </cell>
          <cell r="F405">
            <v>1.0741614216827359E-3</v>
          </cell>
        </row>
        <row r="406">
          <cell r="A406" t="str">
            <v>T_B_u-ICEDSL-S4</v>
          </cell>
          <cell r="B406" t="str">
            <v>VAR_ncap</v>
          </cell>
          <cell r="C406" t="str">
            <v>-</v>
          </cell>
          <cell r="E406">
            <v>7.41023002292039E-8</v>
          </cell>
          <cell r="F406">
            <v>6.7567057851037805E-8</v>
          </cell>
        </row>
        <row r="407">
          <cell r="A407" t="str">
            <v>T_B_u-ICEDSL-S4</v>
          </cell>
          <cell r="B407" t="str">
            <v>VAR_cap</v>
          </cell>
          <cell r="C407" t="str">
            <v>-</v>
          </cell>
          <cell r="D407">
            <v>4.7411914359147989E-6</v>
          </cell>
          <cell r="E407">
            <v>7.0757214971520274E-7</v>
          </cell>
          <cell r="F407">
            <v>8.0910154279171269E-7</v>
          </cell>
          <cell r="G407">
            <v>-1.8594850816341E-8</v>
          </cell>
          <cell r="H407">
            <v>-1.5537848547479899E-8</v>
          </cell>
          <cell r="I407">
            <v>-2.0538878413607499E-9</v>
          </cell>
        </row>
        <row r="408">
          <cell r="A408" t="str">
            <v>D-TBDS1intl</v>
          </cell>
          <cell r="B408" t="str">
            <v>VAR_fout</v>
          </cell>
          <cell r="C408" t="str">
            <v>TKERintl_SAF</v>
          </cell>
          <cell r="G408">
            <v>4.696088554058</v>
          </cell>
          <cell r="H408">
            <v>24.214681474889002</v>
          </cell>
          <cell r="I408">
            <v>42.273215185968198</v>
          </cell>
        </row>
        <row r="409">
          <cell r="A409" t="str">
            <v>D-TBDS1intl</v>
          </cell>
          <cell r="B409" t="str">
            <v>VAR_fin</v>
          </cell>
          <cell r="C409" t="str">
            <v>BDS1</v>
          </cell>
          <cell r="G409">
            <v>4.696088554058</v>
          </cell>
          <cell r="H409">
            <v>24.214681474889002</v>
          </cell>
          <cell r="I409">
            <v>42.273215185968198</v>
          </cell>
        </row>
        <row r="410">
          <cell r="A410" t="str">
            <v>T_B_c-ICENGAEXT</v>
          </cell>
          <cell r="B410" t="str">
            <v>VAR_fout</v>
          </cell>
          <cell r="C410" t="str">
            <v>CO2_T</v>
          </cell>
          <cell r="D410">
            <v>7.7875428969883297E-3</v>
          </cell>
          <cell r="E410">
            <v>7.8815012426383703E-3</v>
          </cell>
          <cell r="F410">
            <v>7.7873318999622E-3</v>
          </cell>
        </row>
        <row r="411">
          <cell r="A411" t="str">
            <v>T_B_c-ICENGAEXT</v>
          </cell>
          <cell r="B411" t="str">
            <v>VAR_fout</v>
          </cell>
          <cell r="C411" t="str">
            <v>TPBSc</v>
          </cell>
          <cell r="D411">
            <v>1.3739006303287128E-3</v>
          </cell>
          <cell r="E411">
            <v>1.1147010679910118E-3</v>
          </cell>
          <cell r="F411">
            <v>6.9266102841784275E-4</v>
          </cell>
        </row>
        <row r="412">
          <cell r="A412" t="str">
            <v>T_B_c-ICENGAEXT</v>
          </cell>
          <cell r="B412" t="str">
            <v>VAR_fin</v>
          </cell>
          <cell r="C412" t="str">
            <v>TNGA</v>
          </cell>
          <cell r="D412">
            <v>1.3807700171965126E-4</v>
          </cell>
          <cell r="E412">
            <v>1.3974292983401343E-4</v>
          </cell>
          <cell r="F412">
            <v>1.3807326063762759E-4</v>
          </cell>
        </row>
        <row r="413">
          <cell r="A413" t="str">
            <v>T_B_c-ICENGAEXT</v>
          </cell>
          <cell r="B413" t="str">
            <v>VAR_cap</v>
          </cell>
          <cell r="C413" t="str">
            <v>-</v>
          </cell>
          <cell r="D413">
            <v>2.9722792607802899E-5</v>
          </cell>
          <cell r="E413">
            <v>2.3778234086242301E-5</v>
          </cell>
          <cell r="F413">
            <v>1.4845199628672982E-5</v>
          </cell>
        </row>
        <row r="414">
          <cell r="A414" t="str">
            <v>T_B_u-ICEDSLEXT</v>
          </cell>
          <cell r="B414" t="str">
            <v>VAR_fout</v>
          </cell>
          <cell r="C414" t="str">
            <v>CO2_T</v>
          </cell>
          <cell r="D414">
            <v>1.27065658313784</v>
          </cell>
          <cell r="E414">
            <v>1.2694204689669699</v>
          </cell>
          <cell r="F414">
            <v>1.26416378004896</v>
          </cell>
        </row>
        <row r="415">
          <cell r="A415" t="str">
            <v>T_B_u-ICEDSLEXT</v>
          </cell>
          <cell r="B415" t="str">
            <v>VAR_fout</v>
          </cell>
          <cell r="C415" t="str">
            <v>TPBSu</v>
          </cell>
          <cell r="D415">
            <v>0.24214728660465856</v>
          </cell>
          <cell r="E415">
            <v>0.19378312263663616</v>
          </cell>
          <cell r="F415">
            <v>0.1210867166518341</v>
          </cell>
        </row>
        <row r="416">
          <cell r="A416" t="str">
            <v>T_B_u-ICEDSLEXT</v>
          </cell>
          <cell r="B416" t="str">
            <v>VAR_fin</v>
          </cell>
          <cell r="C416" t="str">
            <v>TDSL</v>
          </cell>
          <cell r="D416">
            <v>1.7335014776778145E-2</v>
          </cell>
          <cell r="E416">
            <v>1.7318151009099128E-2</v>
          </cell>
          <cell r="F416">
            <v>1.7246436289890317E-2</v>
          </cell>
        </row>
        <row r="417">
          <cell r="A417" t="str">
            <v>T_B_u-ICEDSLEXT</v>
          </cell>
          <cell r="B417" t="str">
            <v>VAR_cap</v>
          </cell>
          <cell r="C417" t="str">
            <v>-</v>
          </cell>
          <cell r="D417">
            <v>4.5678362175525303E-3</v>
          </cell>
          <cell r="E417">
            <v>3.6542689740420198E-3</v>
          </cell>
          <cell r="F417">
            <v>2.283319453930557E-3</v>
          </cell>
        </row>
        <row r="418">
          <cell r="A418" t="str">
            <v>D-T-ELC-LGV</v>
          </cell>
          <cell r="B418" t="str">
            <v>VAR_fout</v>
          </cell>
          <cell r="C418" t="str">
            <v>T-ELC-LGV_BatSTGin</v>
          </cell>
          <cell r="D418">
            <v>3.4962172638098761E-2</v>
          </cell>
          <cell r="E418">
            <v>6.4581425409455967E-2</v>
          </cell>
          <cell r="F418">
            <v>0.1222995546734786</v>
          </cell>
          <cell r="G418">
            <v>1.692886968151547</v>
          </cell>
          <cell r="H418">
            <v>6.5403245506022802</v>
          </cell>
          <cell r="I418">
            <v>7.9183277847352045</v>
          </cell>
        </row>
        <row r="419">
          <cell r="A419" t="str">
            <v>D-T-ELC-LGV</v>
          </cell>
          <cell r="B419" t="str">
            <v>VAR_fin</v>
          </cell>
          <cell r="C419" t="str">
            <v>TELC</v>
          </cell>
          <cell r="D419">
            <v>3.4962172638098761E-2</v>
          </cell>
          <cell r="E419">
            <v>6.4581425409455967E-2</v>
          </cell>
          <cell r="F419">
            <v>0.1222995546734786</v>
          </cell>
          <cell r="G419">
            <v>1.692886968151547</v>
          </cell>
          <cell r="H419">
            <v>6.5403245506022802</v>
          </cell>
          <cell r="I419">
            <v>7.9183277847352045</v>
          </cell>
        </row>
        <row r="420">
          <cell r="A420" t="str">
            <v>D-T-ELC-LGV</v>
          </cell>
          <cell r="B420" t="str">
            <v>VAR_ncap</v>
          </cell>
          <cell r="C420" t="str">
            <v>-</v>
          </cell>
          <cell r="D420">
            <v>3.7090095672551002E-3</v>
          </cell>
          <cell r="E420">
            <v>3.12493481424952E-3</v>
          </cell>
          <cell r="F420">
            <v>6.1075493988940396E-3</v>
          </cell>
          <cell r="G420">
            <v>0.16740753035634601</v>
          </cell>
          <cell r="H420">
            <v>0.370756760461116</v>
          </cell>
          <cell r="I420">
            <v>0.59997575396288905</v>
          </cell>
        </row>
        <row r="421">
          <cell r="A421" t="str">
            <v>D-T-ELC-LGV</v>
          </cell>
          <cell r="B421" t="str">
            <v>VAR_cap</v>
          </cell>
          <cell r="C421" t="str">
            <v>-</v>
          </cell>
          <cell r="D421">
            <v>3.7090095672551002E-3</v>
          </cell>
          <cell r="E421">
            <v>6.8339443815046202E-3</v>
          </cell>
          <cell r="F421">
            <v>1.2941493780398701E-2</v>
          </cell>
          <cell r="G421">
            <v>0.17893984526028001</v>
          </cell>
          <cell r="H421">
            <v>0.69130844471361796</v>
          </cell>
          <cell r="I421">
            <v>0.83696189959267098</v>
          </cell>
        </row>
        <row r="422">
          <cell r="A422" t="str">
            <v>T_B_c-FCLH2O-S1</v>
          </cell>
          <cell r="B422" t="str">
            <v>VAR_ncap</v>
          </cell>
          <cell r="C422" t="str">
            <v>-</v>
          </cell>
          <cell r="G422">
            <v>3.1237565130715198E-8</v>
          </cell>
          <cell r="H422">
            <v>1.9280028743817999E-8</v>
          </cell>
          <cell r="I422">
            <v>2.3895665947185901E-8</v>
          </cell>
        </row>
        <row r="423">
          <cell r="A423" t="str">
            <v>T_B_c-FCLH2O-S1</v>
          </cell>
          <cell r="B423" t="str">
            <v>VAR_cap</v>
          </cell>
          <cell r="C423" t="str">
            <v>-</v>
          </cell>
          <cell r="G423">
            <v>3.1237565130715198E-8</v>
          </cell>
          <cell r="H423">
            <v>2.7789681334027794E-8</v>
          </cell>
          <cell r="I423">
            <v>4.52664263431447E-8</v>
          </cell>
        </row>
        <row r="424">
          <cell r="A424" t="str">
            <v>T_B_c-FCLH2O-S2</v>
          </cell>
          <cell r="B424" t="str">
            <v>VAR_fout</v>
          </cell>
          <cell r="C424" t="str">
            <v>TPBSc</v>
          </cell>
          <cell r="H424">
            <v>1.5643138204332514E-7</v>
          </cell>
        </row>
        <row r="425">
          <cell r="A425" t="str">
            <v>T_B_c-FCLH2O-S2</v>
          </cell>
          <cell r="B425" t="str">
            <v>VAR_fin</v>
          </cell>
          <cell r="C425" t="str">
            <v>TH2O</v>
          </cell>
          <cell r="H425">
            <v>8.0652525804190681E-7</v>
          </cell>
        </row>
        <row r="426">
          <cell r="A426" t="str">
            <v>T_B_c-FCLH2O-S2</v>
          </cell>
          <cell r="B426" t="str">
            <v>VAR_ncap</v>
          </cell>
          <cell r="C426" t="str">
            <v>-</v>
          </cell>
          <cell r="I426">
            <v>1.4847229821364299E-8</v>
          </cell>
        </row>
        <row r="427">
          <cell r="A427" t="str">
            <v>T_B_c-FCLH2O-S2</v>
          </cell>
          <cell r="B427" t="str">
            <v>VAR_cap</v>
          </cell>
          <cell r="C427" t="str">
            <v>-</v>
          </cell>
          <cell r="H427">
            <v>-4.3640238418160011E-9</v>
          </cell>
          <cell r="I427">
            <v>1.9735273638524E-8</v>
          </cell>
        </row>
        <row r="428">
          <cell r="A428" t="str">
            <v>T_B_c-FCLH2O-S3</v>
          </cell>
          <cell r="B428" t="str">
            <v>VAR_fout</v>
          </cell>
          <cell r="C428" t="str">
            <v>TPBSc</v>
          </cell>
          <cell r="H428">
            <v>2.0538692352290652E-7</v>
          </cell>
          <cell r="I428">
            <v>1.5652414934223942E-7</v>
          </cell>
        </row>
        <row r="429">
          <cell r="A429" t="str">
            <v>T_B_c-FCLH2O-S3</v>
          </cell>
          <cell r="B429" t="str">
            <v>VAR_fin</v>
          </cell>
          <cell r="C429" t="str">
            <v>TH2O</v>
          </cell>
          <cell r="H429">
            <v>1.5817351736845714E-6</v>
          </cell>
          <cell r="I429">
            <v>1.0677693343729436E-6</v>
          </cell>
        </row>
        <row r="430">
          <cell r="A430" t="str">
            <v>T_B_c-FCLH2O-S3</v>
          </cell>
          <cell r="B430" t="str">
            <v>VAR_ncap</v>
          </cell>
          <cell r="C430" t="str">
            <v>-</v>
          </cell>
          <cell r="H430">
            <v>2.3782458677010801E-8</v>
          </cell>
          <cell r="I430">
            <v>2.1904754284159798E-8</v>
          </cell>
        </row>
        <row r="431">
          <cell r="A431" t="str">
            <v>T_B_c-FCLH2O-S3</v>
          </cell>
          <cell r="B431" t="str">
            <v>VAR_cap</v>
          </cell>
          <cell r="C431" t="str">
            <v>-</v>
          </cell>
          <cell r="H431">
            <v>3.9023657212883797E-8</v>
          </cell>
          <cell r="I431">
            <v>3.0050751680855399E-8</v>
          </cell>
        </row>
        <row r="432">
          <cell r="A432" t="str">
            <v>T_C-HYBGSLEXT</v>
          </cell>
          <cell r="B432" t="str">
            <v>VAR_fout</v>
          </cell>
          <cell r="C432" t="str">
            <v>CO2_T</v>
          </cell>
          <cell r="D432">
            <v>92.549734912109898</v>
          </cell>
          <cell r="E432">
            <v>91.7247395759086</v>
          </cell>
          <cell r="F432">
            <v>68.277464482122298</v>
          </cell>
          <cell r="G432">
            <v>32.395003518500999</v>
          </cell>
        </row>
        <row r="433">
          <cell r="A433" t="str">
            <v>T_C-HYBGSLEXT</v>
          </cell>
          <cell r="B433" t="str">
            <v>VAR_fout</v>
          </cell>
          <cell r="C433" t="str">
            <v>TPCAR</v>
          </cell>
          <cell r="D433">
            <v>0.61924970814035329</v>
          </cell>
          <cell r="E433">
            <v>0.62769576980367969</v>
          </cell>
          <cell r="F433">
            <v>0.48283408291423369</v>
          </cell>
          <cell r="G433">
            <v>0.24141724750856322</v>
          </cell>
        </row>
        <row r="434">
          <cell r="A434" t="str">
            <v>T_C-HYBGSLEXT</v>
          </cell>
          <cell r="B434" t="str">
            <v>VAR_fin</v>
          </cell>
          <cell r="C434" t="str">
            <v>TGSL</v>
          </cell>
          <cell r="D434">
            <v>1.2540614486735751</v>
          </cell>
          <cell r="E434">
            <v>1.2428826500800623</v>
          </cell>
          <cell r="F434">
            <v>0.92516889542171277</v>
          </cell>
          <cell r="G434">
            <v>0.43895668724256076</v>
          </cell>
        </row>
        <row r="435">
          <cell r="A435" t="str">
            <v>T_C-HYBGSLEXT</v>
          </cell>
          <cell r="B435" t="str">
            <v>VAR_cap</v>
          </cell>
          <cell r="C435" t="str">
            <v>-</v>
          </cell>
          <cell r="D435">
            <v>6.5841999999999998E-2</v>
          </cell>
          <cell r="E435">
            <v>5.7063066666666697E-2</v>
          </cell>
          <cell r="F435">
            <v>4.3894637314578752E-2</v>
          </cell>
          <cell r="G435">
            <v>2.1947333333333301E-2</v>
          </cell>
        </row>
        <row r="436">
          <cell r="A436" t="str">
            <v>T_B_c-FCLH2O-S4</v>
          </cell>
          <cell r="B436" t="str">
            <v>VAR_fout</v>
          </cell>
          <cell r="C436" t="str">
            <v>TPBSc</v>
          </cell>
          <cell r="H436">
            <v>6.2193517503074099E-8</v>
          </cell>
        </row>
        <row r="437">
          <cell r="A437" t="str">
            <v>T_B_c-FCLH2O-S4</v>
          </cell>
          <cell r="B437" t="str">
            <v>VAR_fin</v>
          </cell>
          <cell r="C437" t="str">
            <v>TH2O</v>
          </cell>
          <cell r="H437">
            <v>7.6277444823430804E-7</v>
          </cell>
        </row>
        <row r="438">
          <cell r="A438" t="str">
            <v>TPAVDKEREXT</v>
          </cell>
          <cell r="B438" t="str">
            <v>VAR_fout</v>
          </cell>
          <cell r="C438" t="str">
            <v>CO2_T</v>
          </cell>
          <cell r="D438">
            <v>79.576349423418094</v>
          </cell>
          <cell r="E438">
            <v>100.796237247683</v>
          </cell>
          <cell r="F438">
            <v>132.626068984081</v>
          </cell>
          <cell r="G438">
            <v>185.675788544743</v>
          </cell>
          <cell r="H438">
            <v>154.38211110512901</v>
          </cell>
          <cell r="I438">
            <v>123.088433665514</v>
          </cell>
        </row>
        <row r="439">
          <cell r="A439" t="str">
            <v>TPAVDKEREXT</v>
          </cell>
          <cell r="B439" t="str">
            <v>VAR_fout</v>
          </cell>
          <cell r="C439" t="str">
            <v>TPAVD</v>
          </cell>
          <cell r="D439">
            <v>1.0930817228491501</v>
          </cell>
          <cell r="E439">
            <v>1.3845636984571901</v>
          </cell>
          <cell r="F439">
            <v>1.82178666186924</v>
          </cell>
          <cell r="G439">
            <v>2.5504916008893299</v>
          </cell>
          <cell r="H439">
            <v>2.1206333943012199</v>
          </cell>
          <cell r="I439">
            <v>1.6907751877131001</v>
          </cell>
        </row>
        <row r="440">
          <cell r="A440" t="str">
            <v>TPAVDKEREXT</v>
          </cell>
          <cell r="B440" t="str">
            <v>VAR_fin</v>
          </cell>
          <cell r="C440" t="str">
            <v>TKER</v>
          </cell>
          <cell r="D440">
            <v>1.0930817228491501</v>
          </cell>
          <cell r="E440">
            <v>1.3845636984571901</v>
          </cell>
          <cell r="F440">
            <v>1.82178666186924</v>
          </cell>
          <cell r="G440">
            <v>2.5504916008893299</v>
          </cell>
          <cell r="H440">
            <v>2.1206333943012199</v>
          </cell>
          <cell r="I440">
            <v>1.6907751877131001</v>
          </cell>
        </row>
        <row r="441">
          <cell r="A441" t="str">
            <v>TPAVDKEREXT</v>
          </cell>
          <cell r="B441" t="str">
            <v>VAR_ncap</v>
          </cell>
          <cell r="C441" t="str">
            <v>-</v>
          </cell>
          <cell r="D441">
            <v>1.6088533388556301</v>
          </cell>
          <cell r="E441">
            <v>2.4050542726045601</v>
          </cell>
          <cell r="F441">
            <v>2.06819437027182</v>
          </cell>
          <cell r="G441">
            <v>2.2289609309612102</v>
          </cell>
          <cell r="H441">
            <v>1.2273492172531799</v>
          </cell>
          <cell r="I441">
            <v>1.2251987769513299</v>
          </cell>
        </row>
        <row r="442">
          <cell r="A442" t="str">
            <v>TPAVDKEREXT</v>
          </cell>
          <cell r="B442" t="str">
            <v>VAR_cap</v>
          </cell>
          <cell r="C442" t="str">
            <v>-</v>
          </cell>
          <cell r="D442">
            <v>2.7019350617047801</v>
          </cell>
          <cell r="E442">
            <v>5.1069893343093398</v>
          </cell>
          <cell r="F442">
            <v>5.66572855265394</v>
          </cell>
          <cell r="G442">
            <v>5.6676898033884697</v>
          </cell>
          <cell r="H442">
            <v>3.3508618147885043</v>
          </cell>
          <cell r="I442">
            <v>2.1069382231349496</v>
          </cell>
        </row>
        <row r="443">
          <cell r="A443" t="str">
            <v>T_C-ICE-GSL-S1</v>
          </cell>
          <cell r="B443" t="str">
            <v>VAR_fout</v>
          </cell>
          <cell r="C443" t="str">
            <v>CO2_T</v>
          </cell>
          <cell r="D443">
            <v>33.106954441220225</v>
          </cell>
          <cell r="E443">
            <v>28.86985649602779</v>
          </cell>
          <cell r="F443">
            <v>83.30170983781673</v>
          </cell>
          <cell r="G443">
            <v>69.994039821065741</v>
          </cell>
          <cell r="H443">
            <v>4.8029930674835528</v>
          </cell>
          <cell r="I443">
            <v>2.3918461331039198E-3</v>
          </cell>
        </row>
        <row r="444">
          <cell r="A444" t="str">
            <v>T_C-ICE-GSL-S1</v>
          </cell>
          <cell r="B444" t="str">
            <v>VAR_fout</v>
          </cell>
          <cell r="C444" t="str">
            <v>TPCAR</v>
          </cell>
          <cell r="D444">
            <v>0.31104321956027681</v>
          </cell>
          <cell r="E444">
            <v>0.26437428561622384</v>
          </cell>
          <cell r="F444">
            <v>0.7060075227075614</v>
          </cell>
          <cell r="G444">
            <v>0.59286724005436264</v>
          </cell>
          <cell r="H444">
            <v>3.8985455325510621E-2</v>
          </cell>
          <cell r="I444">
            <v>2.0358629666716978E-5</v>
          </cell>
        </row>
        <row r="445">
          <cell r="A445" t="str">
            <v>T_C-ICE-GSL-S1</v>
          </cell>
          <cell r="B445" t="str">
            <v>VAR_fin</v>
          </cell>
          <cell r="C445" t="str">
            <v>TGSL</v>
          </cell>
          <cell r="D445">
            <v>0.44860371871572108</v>
          </cell>
          <cell r="E445">
            <v>0.39119046742585112</v>
          </cell>
          <cell r="F445">
            <v>1.1287494557969753</v>
          </cell>
          <cell r="G445">
            <v>0.94842872386267985</v>
          </cell>
          <cell r="H445">
            <v>6.5081206876470787E-2</v>
          </cell>
          <cell r="I445">
            <v>3.2409839201950174E-5</v>
          </cell>
        </row>
        <row r="446">
          <cell r="A446" t="str">
            <v>T_C-ICE-GSL-S1</v>
          </cell>
          <cell r="B446" t="str">
            <v>VAR_ncap</v>
          </cell>
          <cell r="C446" t="str">
            <v>-</v>
          </cell>
          <cell r="E446">
            <v>2.4773520186450901E-4</v>
          </cell>
          <cell r="F446">
            <v>6.8621740709105497E-2</v>
          </cell>
          <cell r="G446">
            <v>2.9085289447725602E-4</v>
          </cell>
        </row>
        <row r="447">
          <cell r="A447" t="str">
            <v>T_C-ICE-GSL-S1</v>
          </cell>
          <cell r="B447" t="str">
            <v>VAR_cap</v>
          </cell>
          <cell r="C447" t="str">
            <v>-</v>
          </cell>
          <cell r="D447">
            <v>3.6540335498296959E-2</v>
          </cell>
          <cell r="E447">
            <v>3.9998619942369577E-2</v>
          </cell>
          <cell r="F447">
            <v>0.10723144279631169</v>
          </cell>
          <cell r="G447">
            <v>9.0073061432683704E-2</v>
          </cell>
          <cell r="H447">
            <v>5.9199266710173656E-3</v>
          </cell>
          <cell r="I447">
            <v>2.9005313594667985E-6</v>
          </cell>
        </row>
        <row r="448">
          <cell r="A448" t="str">
            <v>V2G</v>
          </cell>
          <cell r="B448" t="str">
            <v>VAR_fout</v>
          </cell>
          <cell r="C448" t="str">
            <v>ELC35</v>
          </cell>
          <cell r="G448">
            <v>0.16556348545801849</v>
          </cell>
          <cell r="H448">
            <v>0.53601827410793135</v>
          </cell>
          <cell r="I448">
            <v>1.7477047059991038</v>
          </cell>
        </row>
        <row r="449">
          <cell r="A449" t="str">
            <v>V2G</v>
          </cell>
          <cell r="B449" t="str">
            <v>VAR_fin</v>
          </cell>
          <cell r="C449" t="str">
            <v>T-ELC-Bus_c_BatSTGout_S1</v>
          </cell>
          <cell r="G449">
            <v>3.3430831540071332E-3</v>
          </cell>
          <cell r="H449">
            <v>6.0427919765702375E-3</v>
          </cell>
          <cell r="I449">
            <v>2.1870568357988422E-3</v>
          </cell>
        </row>
        <row r="450">
          <cell r="A450" t="str">
            <v>V2G</v>
          </cell>
          <cell r="B450" t="str">
            <v>VAR_fin</v>
          </cell>
          <cell r="C450" t="str">
            <v>T-ELC-Bus_c_BatSTGout_S2</v>
          </cell>
          <cell r="G450">
            <v>3.5217794423219886E-3</v>
          </cell>
          <cell r="H450">
            <v>7.1404357003435597E-3</v>
          </cell>
          <cell r="I450">
            <v>2.6046462651628712E-3</v>
          </cell>
        </row>
        <row r="451">
          <cell r="A451" t="str">
            <v>V2G</v>
          </cell>
          <cell r="B451" t="str">
            <v>VAR_fin</v>
          </cell>
          <cell r="C451" t="str">
            <v>T-ELC-Bus_c_BatSTGout_S3</v>
          </cell>
          <cell r="G451">
            <v>1.9320036208010915E-4</v>
          </cell>
          <cell r="H451">
            <v>3.2198130516808824E-3</v>
          </cell>
          <cell r="I451">
            <v>1.3891732982919507E-3</v>
          </cell>
        </row>
        <row r="452">
          <cell r="A452" t="str">
            <v>V2G</v>
          </cell>
          <cell r="B452" t="str">
            <v>VAR_fin</v>
          </cell>
          <cell r="C452" t="str">
            <v>T-ELC-Bus_c_BatSTGout_S4</v>
          </cell>
          <cell r="G452">
            <v>3.0421725649046734E-4</v>
          </cell>
          <cell r="H452">
            <v>7.3191614871550474E-4</v>
          </cell>
          <cell r="I452">
            <v>4.1434214136913216E-4</v>
          </cell>
        </row>
        <row r="453">
          <cell r="A453" t="str">
            <v>V2G</v>
          </cell>
          <cell r="B453" t="str">
            <v>VAR_fin</v>
          </cell>
          <cell r="C453" t="str">
            <v>T-ELC-car-BatSTGOut_S1</v>
          </cell>
          <cell r="G453">
            <v>4.7989789843655282E-2</v>
          </cell>
          <cell r="H453">
            <v>2.8767341991151885E-2</v>
          </cell>
          <cell r="I453">
            <v>0.34258232198251487</v>
          </cell>
        </row>
        <row r="454">
          <cell r="A454" t="str">
            <v>V2G</v>
          </cell>
          <cell r="B454" t="str">
            <v>VAR_fin</v>
          </cell>
          <cell r="C454" t="str">
            <v>T-ELC-car-BatSTGOut_S2</v>
          </cell>
          <cell r="G454">
            <v>2.2789625272602216E-2</v>
          </cell>
          <cell r="H454">
            <v>8.7681676236574829E-2</v>
          </cell>
          <cell r="I454">
            <v>0.24774509529420802</v>
          </cell>
        </row>
        <row r="455">
          <cell r="A455" t="str">
            <v>V2G</v>
          </cell>
          <cell r="B455" t="str">
            <v>VAR_fin</v>
          </cell>
          <cell r="C455" t="str">
            <v>T-ELC-car-BatSTGOut_S3</v>
          </cell>
          <cell r="G455">
            <v>1.5394409923312865E-2</v>
          </cell>
          <cell r="H455">
            <v>9.0972360491072227E-2</v>
          </cell>
          <cell r="I455">
            <v>0.24583935914177621</v>
          </cell>
        </row>
        <row r="456">
          <cell r="A456" t="str">
            <v>V2G</v>
          </cell>
          <cell r="B456" t="str">
            <v>VAR_fin</v>
          </cell>
          <cell r="C456" t="str">
            <v>T-ELC-car-BatSTGOut_S4</v>
          </cell>
          <cell r="G456">
            <v>1.7231928133076245E-2</v>
          </cell>
          <cell r="H456">
            <v>8.8550198548211473E-2</v>
          </cell>
          <cell r="I456">
            <v>0.25371465568394569</v>
          </cell>
        </row>
        <row r="457">
          <cell r="A457" t="str">
            <v>V2G</v>
          </cell>
          <cell r="B457" t="str">
            <v>VAR_fin</v>
          </cell>
          <cell r="C457" t="str">
            <v>T-ELC-car-PlgSTGOut_S1</v>
          </cell>
          <cell r="G457">
            <v>8.5952516538831782E-4</v>
          </cell>
          <cell r="H457">
            <v>2.3126608472840214E-3</v>
          </cell>
          <cell r="I457">
            <v>1.7385427631102404E-3</v>
          </cell>
        </row>
        <row r="458">
          <cell r="A458" t="str">
            <v>V2G</v>
          </cell>
          <cell r="B458" t="str">
            <v>VAR_fin</v>
          </cell>
          <cell r="C458" t="str">
            <v>T-ELC-car-PlgSTGOut_S2</v>
          </cell>
          <cell r="G458">
            <v>6.1808509314200766E-4</v>
          </cell>
          <cell r="H458">
            <v>3.2314796916103391E-3</v>
          </cell>
          <cell r="I458">
            <v>3.3290787055248938E-3</v>
          </cell>
        </row>
        <row r="459">
          <cell r="A459" t="str">
            <v>V2G</v>
          </cell>
          <cell r="B459" t="str">
            <v>VAR_fin</v>
          </cell>
          <cell r="C459" t="str">
            <v>T-ELC-car-PlgSTGOut_S3</v>
          </cell>
          <cell r="G459">
            <v>2.0034717108254243E-2</v>
          </cell>
          <cell r="H459">
            <v>0.12314066583633297</v>
          </cell>
          <cell r="I459">
            <v>0.5512761238888001</v>
          </cell>
        </row>
        <row r="460">
          <cell r="A460" t="str">
            <v>V2G</v>
          </cell>
          <cell r="B460" t="str">
            <v>VAR_fin</v>
          </cell>
          <cell r="C460" t="str">
            <v>T-ELC-TWSTGout_S1</v>
          </cell>
          <cell r="G460">
            <v>5.5292817592106965E-3</v>
          </cell>
          <cell r="H460">
            <v>1.7927886107869727E-3</v>
          </cell>
          <cell r="I460">
            <v>2.0794557741233878E-3</v>
          </cell>
        </row>
        <row r="461">
          <cell r="A461" t="str">
            <v>V2G</v>
          </cell>
          <cell r="B461" t="str">
            <v>VAR_fin</v>
          </cell>
          <cell r="C461" t="str">
            <v>T-ELC-car-PlgSTGOut_S4</v>
          </cell>
          <cell r="G461">
            <v>2.7548208033341306E-4</v>
          </cell>
          <cell r="H461">
            <v>5.2234189379677977E-3</v>
          </cell>
          <cell r="I461">
            <v>2.6084600904703482E-3</v>
          </cell>
        </row>
        <row r="462">
          <cell r="A462" t="str">
            <v>V2G</v>
          </cell>
          <cell r="B462" t="str">
            <v>VAR_fin</v>
          </cell>
          <cell r="C462" t="str">
            <v>T-ELC-TWSTGout_S2</v>
          </cell>
          <cell r="G462">
            <v>7.2315208061217995E-3</v>
          </cell>
          <cell r="H462">
            <v>7.7696647030631527E-3</v>
          </cell>
          <cell r="I462">
            <v>5.2125107429335585E-3</v>
          </cell>
        </row>
        <row r="463">
          <cell r="A463" t="str">
            <v>V2G</v>
          </cell>
          <cell r="B463" t="str">
            <v>VAR_fin</v>
          </cell>
          <cell r="C463" t="str">
            <v>T-ELC-TWSTGout_S3</v>
          </cell>
          <cell r="G463">
            <v>8.4312957413396443E-3</v>
          </cell>
          <cell r="H463">
            <v>1.3720390327398031E-2</v>
          </cell>
          <cell r="I463">
            <v>8.0064977491356194E-3</v>
          </cell>
        </row>
        <row r="464">
          <cell r="A464" t="str">
            <v>V2G</v>
          </cell>
          <cell r="B464" t="str">
            <v>VAR_fin</v>
          </cell>
          <cell r="C464" t="str">
            <v>T-ELC-TWSTGout_S4</v>
          </cell>
          <cell r="G464">
            <v>8.6217518793335283E-3</v>
          </cell>
          <cell r="H464">
            <v>1.5420496213523247E-2</v>
          </cell>
          <cell r="I464">
            <v>1.2267004912176128E-2</v>
          </cell>
        </row>
        <row r="465">
          <cell r="A465" t="str">
            <v>V2G</v>
          </cell>
          <cell r="B465" t="str">
            <v>VAR_fin</v>
          </cell>
          <cell r="C465" t="str">
            <v>T-ELC-Bus_u_BatSTGout_S1</v>
          </cell>
          <cell r="G465">
            <v>2.6514795203127226E-4</v>
          </cell>
          <cell r="H465">
            <v>3.6114564032566765E-4</v>
          </cell>
          <cell r="I465">
            <v>2.7868873130510856E-4</v>
          </cell>
        </row>
        <row r="466">
          <cell r="A466" t="str">
            <v>V2G</v>
          </cell>
          <cell r="B466" t="str">
            <v>VAR_fin</v>
          </cell>
          <cell r="C466" t="str">
            <v>T-ELC-Bus_u_BatSTGout_S2</v>
          </cell>
          <cell r="G466">
            <v>2.5519586576067615E-4</v>
          </cell>
          <cell r="H466">
            <v>3.3946022550645057E-4</v>
          </cell>
          <cell r="I466">
            <v>2.5602774361186309E-4</v>
          </cell>
        </row>
        <row r="467">
          <cell r="A467" t="str">
            <v>V2G</v>
          </cell>
          <cell r="B467" t="str">
            <v>VAR_fin</v>
          </cell>
          <cell r="C467" t="str">
            <v>T-ELC-Bus_u_BatSTGout_S3</v>
          </cell>
          <cell r="G467">
            <v>1.1360110569234339E-4</v>
          </cell>
          <cell r="H467">
            <v>1.5047803630047787E-4</v>
          </cell>
          <cell r="I467">
            <v>1.2908215332806168E-4</v>
          </cell>
        </row>
        <row r="468">
          <cell r="A468" t="str">
            <v>V2G</v>
          </cell>
          <cell r="B468" t="str">
            <v>VAR_fin</v>
          </cell>
          <cell r="C468" t="str">
            <v>T-ELC-Bus_u_BatSTGout_S4</v>
          </cell>
          <cell r="G468">
            <v>2.9339780488841187E-4</v>
          </cell>
          <cell r="H468">
            <v>6.0235345001941846E-4</v>
          </cell>
          <cell r="I468">
            <v>4.0862235905916053E-4</v>
          </cell>
        </row>
        <row r="469">
          <cell r="A469" t="str">
            <v>V2G</v>
          </cell>
          <cell r="B469" t="str">
            <v>VAR_fin</v>
          </cell>
          <cell r="C469" t="str">
            <v>T-ELC-LGV_BatSTGout</v>
          </cell>
          <cell r="G469">
            <v>1.0730105012518949E-3</v>
          </cell>
          <cell r="H469">
            <v>8.6194858967957554E-4</v>
          </cell>
          <cell r="I469">
            <v>6.1376705752819996E-4</v>
          </cell>
        </row>
        <row r="470">
          <cell r="A470" t="str">
            <v>V2G</v>
          </cell>
          <cell r="B470" t="str">
            <v>VAR_fin</v>
          </cell>
          <cell r="C470" t="str">
            <v>T-ELC-HGV_BatSTGout</v>
          </cell>
          <cell r="G470">
            <v>1.4375522804046189E-3</v>
          </cell>
          <cell r="H470">
            <v>4.8215348661663028E-2</v>
          </cell>
          <cell r="I470">
            <v>6.3204728520606365E-2</v>
          </cell>
        </row>
        <row r="471">
          <cell r="A471" t="str">
            <v>V2G</v>
          </cell>
          <cell r="B471" t="str">
            <v>VAR_ncap</v>
          </cell>
          <cell r="C471" t="str">
            <v>-</v>
          </cell>
          <cell r="G471">
            <v>1.5558600446549199E-2</v>
          </cell>
          <cell r="H471">
            <v>1.65750709755686</v>
          </cell>
          <cell r="I471">
            <v>3.4241622206200999</v>
          </cell>
        </row>
        <row r="472">
          <cell r="A472" t="str">
            <v>V2G</v>
          </cell>
          <cell r="B472" t="str">
            <v>VAR_cap</v>
          </cell>
          <cell r="C472" t="str">
            <v>-</v>
          </cell>
          <cell r="G472">
            <v>1.5558600446549199E-2</v>
          </cell>
          <cell r="H472">
            <v>1.8027251698307794</v>
          </cell>
          <cell r="I472">
            <v>4.6840041135660728</v>
          </cell>
        </row>
        <row r="473">
          <cell r="A473" t="str">
            <v>TPSHPELCEXT</v>
          </cell>
          <cell r="B473" t="str">
            <v>VAR_fout</v>
          </cell>
          <cell r="C473" t="str">
            <v>TPSHP</v>
          </cell>
          <cell r="E473">
            <v>1.5652391645102701E-6</v>
          </cell>
          <cell r="F473">
            <v>6.7092420675213306E-5</v>
          </cell>
          <cell r="G473">
            <v>1.58903685871281E-4</v>
          </cell>
          <cell r="H473">
            <v>7.2997102755904299E-4</v>
          </cell>
          <cell r="I473">
            <v>3.0391804294075401E-4</v>
          </cell>
        </row>
        <row r="474">
          <cell r="A474" t="str">
            <v>TPSHPELCEXT</v>
          </cell>
          <cell r="B474" t="str">
            <v>VAR_fin</v>
          </cell>
          <cell r="C474" t="str">
            <v>TELC</v>
          </cell>
          <cell r="E474">
            <v>6.3437005786319119E-7</v>
          </cell>
          <cell r="F474">
            <v>2.7191641859557764E-5</v>
          </cell>
          <cell r="G474">
            <v>6.4401493833294443E-5</v>
          </cell>
          <cell r="H474">
            <v>2.9584728870234313E-4</v>
          </cell>
          <cell r="I474">
            <v>1.2317383238127466E-4</v>
          </cell>
        </row>
        <row r="475">
          <cell r="A475" t="str">
            <v>TPSHPELCEXT</v>
          </cell>
          <cell r="B475" t="str">
            <v>VAR_ncap</v>
          </cell>
          <cell r="C475" t="str">
            <v>-</v>
          </cell>
          <cell r="D475">
            <v>2.7452427840019801E-6</v>
          </cell>
          <cell r="E475">
            <v>3.78346619528193E-6</v>
          </cell>
          <cell r="F475">
            <v>2.6319938640005199E-5</v>
          </cell>
          <cell r="G475">
            <v>3.04619570238054E-5</v>
          </cell>
          <cell r="H475">
            <v>2.1614735476215598E-6</v>
          </cell>
          <cell r="I475">
            <v>1.5793146722594E-6</v>
          </cell>
        </row>
        <row r="476">
          <cell r="A476" t="str">
            <v>TPSHPELCEXT</v>
          </cell>
          <cell r="B476" t="str">
            <v>VAR_cap</v>
          </cell>
          <cell r="C476" t="str">
            <v>-</v>
          </cell>
          <cell r="D476">
            <v>2.7452427840019801E-6</v>
          </cell>
          <cell r="E476">
            <v>6.5287089792839097E-6</v>
          </cell>
          <cell r="F476">
            <v>3.0985292070749885E-5</v>
          </cell>
          <cell r="G476">
            <v>5.7613887647382943E-5</v>
          </cell>
          <cell r="H476">
            <v>-7.78889798786171E-6</v>
          </cell>
          <cell r="I476">
            <v>-1.2509673714130055E-7</v>
          </cell>
        </row>
        <row r="477">
          <cell r="A477" t="str">
            <v>TFLGV-ICEGSL</v>
          </cell>
          <cell r="B477" t="str">
            <v>VAR_fout</v>
          </cell>
          <cell r="C477" t="str">
            <v>CO2_T</v>
          </cell>
          <cell r="D477">
            <v>26.473032053984792</v>
          </cell>
          <cell r="E477">
            <v>42.871759396592594</v>
          </cell>
          <cell r="F477">
            <v>66.732952752093254</v>
          </cell>
          <cell r="G477">
            <v>100.62752526310155</v>
          </cell>
          <cell r="H477">
            <v>10.311203266762648</v>
          </cell>
          <cell r="I477">
            <v>6.0382188960033407E-3</v>
          </cell>
        </row>
        <row r="478">
          <cell r="A478" t="str">
            <v>TFLGV-ICEGSL</v>
          </cell>
          <cell r="B478" t="str">
            <v>VAR_fout</v>
          </cell>
          <cell r="C478" t="str">
            <v>TFLGV</v>
          </cell>
          <cell r="D478">
            <v>0.12599068808835048</v>
          </cell>
          <cell r="E478">
            <v>0.20403565616964844</v>
          </cell>
          <cell r="F478">
            <v>0.31759605844386413</v>
          </cell>
          <cell r="G478">
            <v>0.47890740745798732</v>
          </cell>
          <cell r="H478">
            <v>4.9073169705271133E-2</v>
          </cell>
          <cell r="I478">
            <v>2.8737144728422998E-5</v>
          </cell>
        </row>
        <row r="479">
          <cell r="A479" t="str">
            <v>TFLGV-ICEGSL</v>
          </cell>
          <cell r="B479" t="str">
            <v>VAR_fin</v>
          </cell>
          <cell r="C479" t="str">
            <v>TGSL</v>
          </cell>
          <cell r="D479">
            <v>0.35871317146320836</v>
          </cell>
          <cell r="E479">
            <v>0.58091814900532002</v>
          </cell>
          <cell r="F479">
            <v>0.90424055219638533</v>
          </cell>
          <cell r="G479">
            <v>1.363516602481049</v>
          </cell>
          <cell r="H479">
            <v>0.13971820144664882</v>
          </cell>
          <cell r="I479">
            <v>8.1818684227687511E-5</v>
          </cell>
        </row>
        <row r="480">
          <cell r="A480" t="str">
            <v>TFLGV-ICEGSL</v>
          </cell>
          <cell r="B480" t="str">
            <v>VAR_ncap</v>
          </cell>
          <cell r="C480" t="str">
            <v>-</v>
          </cell>
          <cell r="E480">
            <v>1.7792615755169599E-4</v>
          </cell>
          <cell r="F480">
            <v>1.2389933052848299E-2</v>
          </cell>
          <cell r="G480">
            <v>2.7303290283745601E-2</v>
          </cell>
          <cell r="H480">
            <v>4.2242311475416197E-6</v>
          </cell>
          <cell r="I480">
            <v>2.84532992779349E-7</v>
          </cell>
        </row>
        <row r="481">
          <cell r="A481" t="str">
            <v>TFLGV-ICEGSL</v>
          </cell>
          <cell r="B481" t="str">
            <v>VAR_cap</v>
          </cell>
          <cell r="C481" t="str">
            <v>-</v>
          </cell>
          <cell r="D481">
            <v>1.2434623942845783E-2</v>
          </cell>
          <cell r="E481">
            <v>1.4299828741273526E-2</v>
          </cell>
          <cell r="F481">
            <v>2.6689658242444989E-2</v>
          </cell>
          <cell r="G481">
            <v>4.7547206107050786E-2</v>
          </cell>
          <cell r="H481">
            <v>4.8658960350723285E-3</v>
          </cell>
          <cell r="I481">
            <v>1.8933083125649301E-6</v>
          </cell>
        </row>
        <row r="482">
          <cell r="A482" t="str">
            <v>T_C-ICE-GSL-S2</v>
          </cell>
          <cell r="B482" t="str">
            <v>VAR_fout</v>
          </cell>
          <cell r="C482" t="str">
            <v>CO2_T</v>
          </cell>
          <cell r="D482">
            <v>253.17945622117878</v>
          </cell>
          <cell r="E482">
            <v>391.79490468299127</v>
          </cell>
          <cell r="F482">
            <v>344.87368328730213</v>
          </cell>
          <cell r="G482">
            <v>261.44659391788815</v>
          </cell>
          <cell r="H482">
            <v>0.1922762486320766</v>
          </cell>
          <cell r="I482">
            <v>1.9428734338353499E-3</v>
          </cell>
        </row>
        <row r="483">
          <cell r="A483" t="str">
            <v>T_C-ICE-GSL-S2</v>
          </cell>
          <cell r="B483" t="str">
            <v>VAR_fout</v>
          </cell>
          <cell r="C483" t="str">
            <v>TPCAR</v>
          </cell>
          <cell r="D483">
            <v>2.0649341431541668</v>
          </cell>
          <cell r="E483">
            <v>3.2089996270735637</v>
          </cell>
          <cell r="F483">
            <v>2.8533661026313282</v>
          </cell>
          <cell r="G483">
            <v>2.1769729795322732</v>
          </cell>
          <cell r="H483">
            <v>1.2898757216140808E-3</v>
          </cell>
          <cell r="I483">
            <v>1.3282699282552366E-5</v>
          </cell>
        </row>
        <row r="484">
          <cell r="A484" t="str">
            <v>T_C-ICE-GSL-S2</v>
          </cell>
          <cell r="B484" t="str">
            <v>VAR_fin</v>
          </cell>
          <cell r="C484" t="str">
            <v>TGSL</v>
          </cell>
          <cell r="D484">
            <v>3.4306159379563477</v>
          </cell>
          <cell r="E484">
            <v>5.3088740471949984</v>
          </cell>
          <cell r="F484">
            <v>4.6730851393943302</v>
          </cell>
          <cell r="G484">
            <v>3.5426367739551194</v>
          </cell>
          <cell r="H484">
            <v>2.6053692226568675E-3</v>
          </cell>
          <cell r="I484">
            <v>2.6326198290451853E-5</v>
          </cell>
        </row>
        <row r="485">
          <cell r="A485" t="str">
            <v>T_C-ICE-GSL-S2</v>
          </cell>
          <cell r="B485" t="str">
            <v>VAR_ncap</v>
          </cell>
          <cell r="C485" t="str">
            <v>-</v>
          </cell>
          <cell r="E485">
            <v>1.09090475538804E-4</v>
          </cell>
          <cell r="F485">
            <v>3.8313741298077E-4</v>
          </cell>
          <cell r="G485">
            <v>1.6580659265685101E-4</v>
          </cell>
        </row>
        <row r="486">
          <cell r="A486" t="str">
            <v>T_C-ICE-GSL-S2</v>
          </cell>
          <cell r="B486" t="str">
            <v>VAR_cap</v>
          </cell>
          <cell r="C486" t="str">
            <v>-</v>
          </cell>
          <cell r="D486">
            <v>0.21742806855264374</v>
          </cell>
          <cell r="E486">
            <v>0.24347806724482607</v>
          </cell>
          <cell r="F486">
            <v>0.24050776831897785</v>
          </cell>
          <cell r="G486">
            <v>0.19018510534168981</v>
          </cell>
          <cell r="H486">
            <v>1.305054615575742E-4</v>
          </cell>
          <cell r="I486">
            <v>1.2841324115151206E-6</v>
          </cell>
        </row>
        <row r="487">
          <cell r="A487" t="str">
            <v>T_C-ICE-DSL-S1</v>
          </cell>
          <cell r="B487" t="str">
            <v>VAR_fout</v>
          </cell>
          <cell r="C487" t="str">
            <v>CO2_T</v>
          </cell>
          <cell r="D487">
            <v>0.3759654223609592</v>
          </cell>
          <cell r="E487">
            <v>0.40624005701457394</v>
          </cell>
          <cell r="F487">
            <v>0.4846375707583771</v>
          </cell>
          <cell r="G487">
            <v>0.4312358959716393</v>
          </cell>
          <cell r="H487">
            <v>7.551697687443755E-2</v>
          </cell>
          <cell r="I487">
            <v>1.6484264603641801E-3</v>
          </cell>
        </row>
        <row r="488">
          <cell r="A488" t="str">
            <v>T_C-ICE-DSL-S1</v>
          </cell>
          <cell r="B488" t="str">
            <v>VAR_fout</v>
          </cell>
          <cell r="C488" t="str">
            <v>TPCAR</v>
          </cell>
          <cell r="D488">
            <v>3.8453145663994563E-3</v>
          </cell>
          <cell r="E488">
            <v>4.4762149405722885E-3</v>
          </cell>
          <cell r="F488">
            <v>5.30922579659156E-3</v>
          </cell>
          <cell r="G488">
            <v>4.6191011095082033E-3</v>
          </cell>
          <cell r="H488">
            <v>6.7509022868569315E-4</v>
          </cell>
          <cell r="I488">
            <v>1.4646428952641085E-5</v>
          </cell>
        </row>
        <row r="489">
          <cell r="A489" t="str">
            <v>T_C-ICE-DSL-S1</v>
          </cell>
          <cell r="B489" t="str">
            <v>VAR_fin</v>
          </cell>
          <cell r="C489" t="str">
            <v>TDSL</v>
          </cell>
          <cell r="D489">
            <v>5.129132637939406E-3</v>
          </cell>
          <cell r="E489">
            <v>5.5421563030637767E-3</v>
          </cell>
          <cell r="F489">
            <v>6.6116994646436208E-3</v>
          </cell>
          <cell r="G489">
            <v>5.8831636558204564E-3</v>
          </cell>
          <cell r="H489">
            <v>1.030245250674454E-3</v>
          </cell>
          <cell r="I489">
            <v>2.2488764807151138E-5</v>
          </cell>
        </row>
        <row r="490">
          <cell r="A490" t="str">
            <v>T_C-ICE-DSL-S1</v>
          </cell>
          <cell r="B490" t="str">
            <v>VAR_ncap</v>
          </cell>
          <cell r="C490" t="str">
            <v>-</v>
          </cell>
          <cell r="E490">
            <v>1.3900597578129701E-4</v>
          </cell>
          <cell r="F490">
            <v>1.78188776817906E-4</v>
          </cell>
          <cell r="G490">
            <v>9.9832949137127795E-5</v>
          </cell>
        </row>
        <row r="491">
          <cell r="A491" t="str">
            <v>T_C-ICE-DSL-S1</v>
          </cell>
          <cell r="B491" t="str">
            <v>VAR_cap</v>
          </cell>
          <cell r="C491" t="str">
            <v>-</v>
          </cell>
          <cell r="D491">
            <v>4.44499957593945E-4</v>
          </cell>
          <cell r="E491">
            <v>6.0913158017956211E-4</v>
          </cell>
          <cell r="F491">
            <v>7.7483906628622839E-4</v>
          </cell>
          <cell r="G491">
            <v>6.8430629151047058E-4</v>
          </cell>
          <cell r="H491">
            <v>9.8614210433110161E-5</v>
          </cell>
          <cell r="I491">
            <v>2.0910370567397E-6</v>
          </cell>
        </row>
        <row r="492">
          <cell r="A492" t="str">
            <v>T_C-ICE-GSL-S3</v>
          </cell>
          <cell r="B492" t="str">
            <v>VAR_fout</v>
          </cell>
          <cell r="C492" t="str">
            <v>CO2_T</v>
          </cell>
          <cell r="D492">
            <v>265.83785907499163</v>
          </cell>
          <cell r="E492">
            <v>655.0986178428459</v>
          </cell>
          <cell r="F492">
            <v>724.081522415667</v>
          </cell>
          <cell r="G492">
            <v>589.60136978900118</v>
          </cell>
          <cell r="H492">
            <v>5.4335997338744795</v>
          </cell>
          <cell r="I492">
            <v>1.97263075701574E-3</v>
          </cell>
        </row>
        <row r="493">
          <cell r="A493" t="str">
            <v>T_C-ICE-GSL-S3</v>
          </cell>
          <cell r="B493" t="str">
            <v>VAR_fout</v>
          </cell>
          <cell r="C493" t="str">
            <v>TPCAR</v>
          </cell>
          <cell r="D493">
            <v>1.8557488157626141</v>
          </cell>
          <cell r="E493">
            <v>4.5702592642166611</v>
          </cell>
          <cell r="F493">
            <v>5.0126119498982638</v>
          </cell>
          <cell r="G493">
            <v>4.0981842467523304</v>
          </cell>
          <cell r="H493">
            <v>3.5417004955101701E-2</v>
          </cell>
          <cell r="I493">
            <v>1.253480680042047E-5</v>
          </cell>
        </row>
        <row r="494">
          <cell r="A494" t="str">
            <v>T_C-ICE-GSL-S3</v>
          </cell>
          <cell r="B494" t="str">
            <v>VAR_fin</v>
          </cell>
          <cell r="C494" t="str">
            <v>TGSL</v>
          </cell>
          <cell r="D494">
            <v>3.602139011856254</v>
          </cell>
          <cell r="E494">
            <v>8.8766750385209292</v>
          </cell>
          <cell r="F494">
            <v>9.8114027427597232</v>
          </cell>
          <cell r="G494">
            <v>7.9891784524254925</v>
          </cell>
          <cell r="H494">
            <v>7.36260126541258E-2</v>
          </cell>
          <cell r="I494">
            <v>2.6729414051703718E-5</v>
          </cell>
        </row>
        <row r="495">
          <cell r="A495" t="str">
            <v>T_C-ICE-GSL-S3</v>
          </cell>
          <cell r="B495" t="str">
            <v>VAR_ncap</v>
          </cell>
          <cell r="C495" t="str">
            <v>-</v>
          </cell>
          <cell r="E495">
            <v>0.11209876623781</v>
          </cell>
          <cell r="F495">
            <v>4.0477084911812698E-2</v>
          </cell>
          <cell r="G495">
            <v>1.85779914943794E-4</v>
          </cell>
        </row>
        <row r="496">
          <cell r="A496" t="str">
            <v>T_C-ICE-GSL-S3</v>
          </cell>
          <cell r="B496" t="str">
            <v>VAR_cap</v>
          </cell>
          <cell r="C496" t="str">
            <v>-</v>
          </cell>
          <cell r="D496">
            <v>0.18201068827096734</v>
          </cell>
          <cell r="E496">
            <v>0.31425987967639268</v>
          </cell>
          <cell r="F496">
            <v>0.34473318358285604</v>
          </cell>
          <cell r="G496">
            <v>0.28182003317336385</v>
          </cell>
          <cell r="H496">
            <v>3.4711358645285813E-3</v>
          </cell>
          <cell r="I496">
            <v>9.6882115786350978E-7</v>
          </cell>
        </row>
        <row r="497">
          <cell r="A497" t="str">
            <v>T_C-ICE-DSL-S2</v>
          </cell>
          <cell r="B497" t="str">
            <v>VAR_fout</v>
          </cell>
          <cell r="C497" t="str">
            <v>CO2_T</v>
          </cell>
          <cell r="D497">
            <v>86.215711563799175</v>
          </cell>
          <cell r="E497">
            <v>94.110666446185036</v>
          </cell>
          <cell r="F497">
            <v>74.985245890569345</v>
          </cell>
          <cell r="G497">
            <v>61.010869170265849</v>
          </cell>
          <cell r="H497">
            <v>7.6796928523821223E-2</v>
          </cell>
          <cell r="I497">
            <v>1.33017573827844E-3</v>
          </cell>
        </row>
        <row r="498">
          <cell r="A498" t="str">
            <v>T_C-ICE-DSL-S2</v>
          </cell>
          <cell r="B498" t="str">
            <v>VAR_fout</v>
          </cell>
          <cell r="C498" t="str">
            <v>TPCAR</v>
          </cell>
          <cell r="D498">
            <v>0.82861260206065934</v>
          </cell>
          <cell r="E498">
            <v>0.90364233873285926</v>
          </cell>
          <cell r="F498">
            <v>0.74188989345996537</v>
          </cell>
          <cell r="G498">
            <v>0.63440655306544191</v>
          </cell>
          <cell r="H498">
            <v>5.520557714593289E-4</v>
          </cell>
          <cell r="I498">
            <v>9.4840917450895894E-6</v>
          </cell>
        </row>
        <row r="499">
          <cell r="A499" t="str">
            <v>T_C-ICE-DSL-S2</v>
          </cell>
          <cell r="B499" t="str">
            <v>VAR_fin</v>
          </cell>
          <cell r="C499" t="str">
            <v>TDSL</v>
          </cell>
          <cell r="D499">
            <v>1.1762034319754326</v>
          </cell>
          <cell r="E499">
            <v>1.2839108655686917</v>
          </cell>
          <cell r="F499">
            <v>1.0229910762697063</v>
          </cell>
          <cell r="G499">
            <v>0.83234473629285144</v>
          </cell>
          <cell r="H499">
            <v>1.0477070739948338E-3</v>
          </cell>
          <cell r="I499">
            <v>1.8147008707755028E-5</v>
          </cell>
        </row>
        <row r="500">
          <cell r="A500" t="str">
            <v>T_C-ICE-DSL-S2</v>
          </cell>
          <cell r="B500" t="str">
            <v>VAR_ncap</v>
          </cell>
          <cell r="C500" t="str">
            <v>-</v>
          </cell>
          <cell r="E500">
            <v>6.2097003904328994E-5</v>
          </cell>
          <cell r="F500">
            <v>9.1911592862138907E-5</v>
          </cell>
          <cell r="G500">
            <v>6.1240601534749803E-5</v>
          </cell>
        </row>
        <row r="501">
          <cell r="A501" t="str">
            <v>T_C-ICE-DSL-S2</v>
          </cell>
          <cell r="B501" t="str">
            <v>VAR_cap</v>
          </cell>
          <cell r="C501" t="str">
            <v>-</v>
          </cell>
          <cell r="D501">
            <v>6.4567896102072628E-2</v>
          </cell>
          <cell r="E501">
            <v>6.8565300112642114E-2</v>
          </cell>
          <cell r="F501">
            <v>6.8032759277035781E-2</v>
          </cell>
          <cell r="G501">
            <v>5.1645501408771909E-2</v>
          </cell>
          <cell r="H501">
            <v>5.3832832014220319E-5</v>
          </cell>
          <cell r="I501">
            <v>9.2649650617887999E-7</v>
          </cell>
        </row>
        <row r="502">
          <cell r="A502" t="str">
            <v>T_C-ICE-GSL-S4</v>
          </cell>
          <cell r="B502" t="str">
            <v>VAR_fout</v>
          </cell>
          <cell r="C502" t="str">
            <v>CO2_T</v>
          </cell>
          <cell r="D502">
            <v>254.31400868743719</v>
          </cell>
          <cell r="E502">
            <v>389.2221306304836</v>
          </cell>
          <cell r="F502">
            <v>610.7107711519651</v>
          </cell>
          <cell r="G502">
            <v>1976.2395721533805</v>
          </cell>
          <cell r="H502">
            <v>430.06305882695062</v>
          </cell>
          <cell r="I502">
            <v>2.43174178246252E-3</v>
          </cell>
        </row>
        <row r="503">
          <cell r="A503" t="str">
            <v>T_C-ICE-GSL-S4</v>
          </cell>
          <cell r="B503" t="str">
            <v>VAR_fout</v>
          </cell>
          <cell r="C503" t="str">
            <v>TPCAR</v>
          </cell>
          <cell r="D503">
            <v>1.5036125500489779</v>
          </cell>
          <cell r="E503">
            <v>2.2852213684852787</v>
          </cell>
          <cell r="F503">
            <v>3.5896759520268495</v>
          </cell>
          <cell r="G503">
            <v>11.699862683349073</v>
          </cell>
          <cell r="H503">
            <v>2.5443900054675046</v>
          </cell>
          <cell r="I503">
            <v>1.5595406460482492E-5</v>
          </cell>
        </row>
        <row r="504">
          <cell r="A504" t="str">
            <v>T_C-ICE-GSL-S4</v>
          </cell>
          <cell r="B504" t="str">
            <v>VAR_fin</v>
          </cell>
          <cell r="C504" t="str">
            <v>TGSL</v>
          </cell>
          <cell r="D504">
            <v>3.4459892776075534</v>
          </cell>
          <cell r="E504">
            <v>5.2740126101691551</v>
          </cell>
          <cell r="F504">
            <v>8.2752137012461446</v>
          </cell>
          <cell r="G504">
            <v>26.778313985818212</v>
          </cell>
          <cell r="H504">
            <v>5.8274127212323883</v>
          </cell>
          <cell r="I504">
            <v>3.2950430656673742E-5</v>
          </cell>
        </row>
        <row r="505">
          <cell r="A505" t="str">
            <v>T_C-ICE-GSL-S4</v>
          </cell>
          <cell r="B505" t="str">
            <v>VAR_ncap</v>
          </cell>
          <cell r="C505" t="str">
            <v>-</v>
          </cell>
          <cell r="E505">
            <v>7.19865506454113E-4</v>
          </cell>
          <cell r="F505">
            <v>0.107241800133661</v>
          </cell>
          <cell r="G505">
            <v>0.72364329857666698</v>
          </cell>
        </row>
        <row r="506">
          <cell r="A506" t="str">
            <v>T_C-ICE-GSL-S4</v>
          </cell>
          <cell r="B506" t="str">
            <v>VAR_cap</v>
          </cell>
          <cell r="C506" t="str">
            <v>-</v>
          </cell>
          <cell r="D506">
            <v>0.15707412667894774</v>
          </cell>
          <cell r="E506">
            <v>0.17997355361726133</v>
          </cell>
          <cell r="F506">
            <v>0.28284649531445427</v>
          </cell>
          <cell r="G506">
            <v>0.92140691053821799</v>
          </cell>
          <cell r="H506">
            <v>0.28619848851842988</v>
          </cell>
          <cell r="I506">
            <v>1.6100651838729001E-6</v>
          </cell>
        </row>
        <row r="507">
          <cell r="A507" t="str">
            <v>T_C-ICE-DSL-S3</v>
          </cell>
          <cell r="B507" t="str">
            <v>VAR_fout</v>
          </cell>
          <cell r="C507" t="str">
            <v>CO2_T</v>
          </cell>
          <cell r="D507">
            <v>329.53944463216806</v>
          </cell>
          <cell r="E507">
            <v>390.53173472108864</v>
          </cell>
          <cell r="F507">
            <v>386.82698569505158</v>
          </cell>
          <cell r="G507">
            <v>295.58927769978527</v>
          </cell>
          <cell r="H507">
            <v>7.1834473261327192E-2</v>
          </cell>
          <cell r="I507">
            <v>1.3359286906106901E-3</v>
          </cell>
        </row>
        <row r="508">
          <cell r="A508" t="str">
            <v>T_C-ICE-DSL-S3</v>
          </cell>
          <cell r="B508" t="str">
            <v>VAR_fout</v>
          </cell>
          <cell r="C508" t="str">
            <v>TPCAR</v>
          </cell>
          <cell r="D508">
            <v>2.4220905091715728</v>
          </cell>
          <cell r="E508">
            <v>2.836747480145219</v>
          </cell>
          <cell r="F508">
            <v>2.807383158561231</v>
          </cell>
          <cell r="G508">
            <v>2.1824575915858131</v>
          </cell>
          <cell r="H508">
            <v>4.6870978999093876E-4</v>
          </cell>
          <cell r="I508">
            <v>8.8535218072394952E-6</v>
          </cell>
        </row>
        <row r="509">
          <cell r="A509" t="str">
            <v>T_C-ICE-DSL-S3</v>
          </cell>
          <cell r="B509" t="str">
            <v>VAR_fin</v>
          </cell>
          <cell r="C509" t="str">
            <v>TDSL</v>
          </cell>
          <cell r="D509">
            <v>4.495763228269686</v>
          </cell>
          <cell r="E509">
            <v>5.3278544982413187</v>
          </cell>
          <cell r="F509">
            <v>5.2773122195777926</v>
          </cell>
          <cell r="G509">
            <v>4.0325958758497409</v>
          </cell>
          <cell r="H509">
            <v>9.8000645649832575E-4</v>
          </cell>
          <cell r="I509">
            <v>1.8225493732751585E-5</v>
          </cell>
        </row>
        <row r="510">
          <cell r="A510" t="str">
            <v>T_C-ICE-DSL-S3</v>
          </cell>
          <cell r="B510" t="str">
            <v>VAR_ncap</v>
          </cell>
          <cell r="C510" t="str">
            <v>-</v>
          </cell>
          <cell r="E510">
            <v>7.2920685131465002E-5</v>
          </cell>
          <cell r="F510">
            <v>7.7241770749490504E-5</v>
          </cell>
          <cell r="G510">
            <v>5.3804094739434798E-5</v>
          </cell>
        </row>
        <row r="511">
          <cell r="A511" t="str">
            <v>T_C-ICE-DSL-S3</v>
          </cell>
          <cell r="B511" t="str">
            <v>VAR_cap</v>
          </cell>
          <cell r="C511" t="str">
            <v>-</v>
          </cell>
          <cell r="D511">
            <v>0.18323998865811728</v>
          </cell>
          <cell r="E511">
            <v>0.19506811156321163</v>
          </cell>
          <cell r="F511">
            <v>0.19310661262841924</v>
          </cell>
          <cell r="G511">
            <v>0.15009212286963941</v>
          </cell>
          <cell r="H511">
            <v>4.1468711974391867E-5</v>
          </cell>
          <cell r="I511">
            <v>6.9983888519791981E-7</v>
          </cell>
        </row>
        <row r="512">
          <cell r="A512" t="str">
            <v>T_C-ICE-DSL-S4</v>
          </cell>
          <cell r="B512" t="str">
            <v>VAR_fout</v>
          </cell>
          <cell r="C512" t="str">
            <v>CO2_T</v>
          </cell>
          <cell r="D512">
            <v>141.9947904071777</v>
          </cell>
          <cell r="E512">
            <v>162.04111158475223</v>
          </cell>
          <cell r="F512">
            <v>159.05199137824988</v>
          </cell>
          <cell r="G512">
            <v>122.67394513440797</v>
          </cell>
          <cell r="H512">
            <v>4.6176466286148216E-2</v>
          </cell>
          <cell r="I512">
            <v>1.3854150091918301E-3</v>
          </cell>
        </row>
        <row r="513">
          <cell r="A513" t="str">
            <v>T_C-ICE-DSL-S4</v>
          </cell>
          <cell r="B513" t="str">
            <v>VAR_fout</v>
          </cell>
          <cell r="C513" t="str">
            <v>TPCAR</v>
          </cell>
          <cell r="D513">
            <v>0.9027487322136577</v>
          </cell>
          <cell r="E513">
            <v>1.0074791025379031</v>
          </cell>
          <cell r="F513">
            <v>0.99117940037077668</v>
          </cell>
          <cell r="G513">
            <v>0.77515802088936059</v>
          </cell>
          <cell r="H513">
            <v>2.7693445546796966E-4</v>
          </cell>
          <cell r="I513">
            <v>8.6763614335133213E-6</v>
          </cell>
        </row>
        <row r="514">
          <cell r="A514" t="str">
            <v>T_C-ICE-DSL-S4</v>
          </cell>
          <cell r="B514" t="str">
            <v>VAR_fin</v>
          </cell>
          <cell r="C514" t="str">
            <v>TDSL</v>
          </cell>
          <cell r="D514">
            <v>1.9371731297022854</v>
          </cell>
          <cell r="E514">
            <v>2.2106563654127158</v>
          </cell>
          <cell r="F514">
            <v>2.16987709929399</v>
          </cell>
          <cell r="G514">
            <v>1.6735872460355805</v>
          </cell>
          <cell r="H514">
            <v>6.2996543364458727E-4</v>
          </cell>
          <cell r="I514">
            <v>1.8900614040816273E-5</v>
          </cell>
        </row>
        <row r="515">
          <cell r="A515" t="str">
            <v>T_C-ICE-DSL-S4</v>
          </cell>
          <cell r="B515" t="str">
            <v>VAR_ncap</v>
          </cell>
          <cell r="C515" t="str">
            <v>-</v>
          </cell>
          <cell r="E515">
            <v>2.59015372333843E-5</v>
          </cell>
          <cell r="F515">
            <v>3.5336406269639602E-5</v>
          </cell>
          <cell r="G515">
            <v>3.2188378172734099E-5</v>
          </cell>
        </row>
        <row r="516">
          <cell r="A516" t="str">
            <v>T_C-ICE-DSL-S4</v>
          </cell>
          <cell r="B516" t="str">
            <v>VAR_cap</v>
          </cell>
          <cell r="C516" t="str">
            <v>-</v>
          </cell>
          <cell r="D516">
            <v>7.126154434888117E-2</v>
          </cell>
          <cell r="E516">
            <v>7.9362508190934947E-2</v>
          </cell>
          <cell r="F516">
            <v>7.8260483979659262E-2</v>
          </cell>
          <cell r="G516">
            <v>6.1130451627622928E-2</v>
          </cell>
          <cell r="H516">
            <v>2.8052084080742055E-5</v>
          </cell>
          <cell r="I516">
            <v>9.0405026547869967E-7</v>
          </cell>
        </row>
        <row r="517">
          <cell r="A517" t="str">
            <v>TFLGV-ICENGAExt</v>
          </cell>
          <cell r="B517" t="str">
            <v>VAR_fout</v>
          </cell>
          <cell r="C517" t="str">
            <v>CO2_T</v>
          </cell>
          <cell r="D517">
            <v>6.0148763450463001</v>
          </cell>
          <cell r="E517">
            <v>1.82787638177687</v>
          </cell>
          <cell r="F517">
            <v>3.93631001612109</v>
          </cell>
          <cell r="G517">
            <v>9.4975693368754503E-3</v>
          </cell>
        </row>
        <row r="518">
          <cell r="A518" t="str">
            <v>TFLGV-ICENGAExt</v>
          </cell>
          <cell r="B518" t="str">
            <v>VAR_fout</v>
          </cell>
          <cell r="C518" t="str">
            <v>TFLGV</v>
          </cell>
          <cell r="D518">
            <v>2.9603350374436625E-2</v>
          </cell>
          <cell r="E518">
            <v>9.0800841897733381E-3</v>
          </cell>
          <cell r="F518">
            <v>1.9824692674162425E-2</v>
          </cell>
          <cell r="G518">
            <v>4.7833222607970612E-5</v>
          </cell>
        </row>
        <row r="519">
          <cell r="A519" t="str">
            <v>TFLGV-ICENGAExt</v>
          </cell>
          <cell r="B519" t="str">
            <v>VAR_fin</v>
          </cell>
          <cell r="C519" t="str">
            <v>TNGA</v>
          </cell>
          <cell r="D519">
            <v>0.10664674370649463</v>
          </cell>
          <cell r="E519">
            <v>3.2409155705263683E-2</v>
          </cell>
          <cell r="F519">
            <v>6.9792730782288828E-2</v>
          </cell>
          <cell r="G519">
            <v>1.6839661944814641E-4</v>
          </cell>
        </row>
        <row r="520">
          <cell r="A520" t="str">
            <v>TFLGV-ICENGAExt</v>
          </cell>
          <cell r="B520" t="str">
            <v>VAR_cap</v>
          </cell>
          <cell r="C520" t="str">
            <v>-</v>
          </cell>
          <cell r="D520">
            <v>2.085E-3</v>
          </cell>
          <cell r="E520">
            <v>1.807E-3</v>
          </cell>
          <cell r="F520">
            <v>1.3899728645390646E-3</v>
          </cell>
          <cell r="G520">
            <v>3.6104125533500172E-6</v>
          </cell>
        </row>
        <row r="521">
          <cell r="A521" t="str">
            <v>D-TGSL</v>
          </cell>
          <cell r="B521" t="str">
            <v>VAR_fout</v>
          </cell>
          <cell r="C521" t="str">
            <v>CO2</v>
          </cell>
          <cell r="D521">
            <v>5820.8304410505398</v>
          </cell>
          <cell r="E521">
            <v>5883.4654783866599</v>
          </cell>
          <cell r="F521">
            <v>5311.4669381252297</v>
          </cell>
          <cell r="G521">
            <v>4560.1525233268703</v>
          </cell>
          <cell r="H521">
            <v>650.93627024740704</v>
          </cell>
          <cell r="I521">
            <v>34.041809100619297</v>
          </cell>
        </row>
        <row r="522">
          <cell r="A522" t="str">
            <v>D-TGSL</v>
          </cell>
          <cell r="B522" t="str">
            <v>VAR_fout</v>
          </cell>
          <cell r="C522" t="str">
            <v>TGSL</v>
          </cell>
          <cell r="D522">
            <v>82.214393594664571</v>
          </cell>
          <cell r="E522">
            <v>83.099007162170025</v>
          </cell>
          <cell r="F522">
            <v>75.033249130513383</v>
          </cell>
          <cell r="G522">
            <v>65.34990456993728</v>
          </cell>
          <cell r="H522">
            <v>13.194616446900366</v>
          </cell>
          <cell r="I522">
            <v>0.48091468012134564</v>
          </cell>
        </row>
        <row r="523">
          <cell r="A523" t="str">
            <v>D-TGSL</v>
          </cell>
          <cell r="B523" t="str">
            <v>VAR_fin</v>
          </cell>
          <cell r="C523" t="str">
            <v>GSL</v>
          </cell>
          <cell r="D523">
            <v>78.873041206646931</v>
          </cell>
          <cell r="E523">
            <v>79.721754449683729</v>
          </cell>
          <cell r="F523">
            <v>71.971096722564113</v>
          </cell>
          <cell r="G523">
            <v>61.790684597925122</v>
          </cell>
          <cell r="H523">
            <v>8.8202746645990064</v>
          </cell>
          <cell r="I523">
            <v>0.46127112602465253</v>
          </cell>
        </row>
        <row r="524">
          <cell r="A524" t="str">
            <v>D-TGSL</v>
          </cell>
          <cell r="B524" t="str">
            <v>VAR_fin</v>
          </cell>
          <cell r="C524" t="str">
            <v>ETH</v>
          </cell>
          <cell r="D524">
            <v>4.5676052840481898</v>
          </cell>
          <cell r="E524">
            <v>4.6166994639510852</v>
          </cell>
          <cell r="F524">
            <v>4.1812959460322698</v>
          </cell>
          <cell r="G524">
            <v>4.5339359877476575</v>
          </cell>
          <cell r="H524">
            <v>4.5711434656237619</v>
          </cell>
          <cell r="I524">
            <v>2.6833050476286785E-2</v>
          </cell>
        </row>
        <row r="525">
          <cell r="A525" t="str">
            <v>T_TW-BEVELC-S1</v>
          </cell>
          <cell r="B525" t="str">
            <v>VAR_fout</v>
          </cell>
          <cell r="C525" t="str">
            <v>TPTWL</v>
          </cell>
          <cell r="D525">
            <v>1.7644499361617244E-2</v>
          </cell>
          <cell r="E525">
            <v>2.4788208032253886E-2</v>
          </cell>
          <cell r="F525">
            <v>2.6217851047490647E-2</v>
          </cell>
          <cell r="G525">
            <v>2.0193157495645531E-2</v>
          </cell>
          <cell r="H525">
            <v>1.9413275582395315</v>
          </cell>
          <cell r="I525">
            <v>1.904736045016489</v>
          </cell>
        </row>
        <row r="526">
          <cell r="A526" t="str">
            <v>T_TW-BEVELC-S1</v>
          </cell>
          <cell r="B526" t="str">
            <v>VAR_fin</v>
          </cell>
          <cell r="C526" t="str">
            <v>T-ELC-TWSTGout_S1</v>
          </cell>
          <cell r="D526">
            <v>1.5897482109625228E-3</v>
          </cell>
          <cell r="E526">
            <v>2.2315086720625238E-3</v>
          </cell>
          <cell r="F526">
            <v>2.3584899123461969E-3</v>
          </cell>
          <cell r="G526">
            <v>1.8107677804735183E-3</v>
          </cell>
          <cell r="H526">
            <v>0.16747096642817441</v>
          </cell>
          <cell r="I526">
            <v>0.16109132844865467</v>
          </cell>
        </row>
        <row r="527">
          <cell r="A527" t="str">
            <v>T_TW-BEVELC-S1</v>
          </cell>
          <cell r="B527" t="str">
            <v>VAR_ncap</v>
          </cell>
          <cell r="C527" t="str">
            <v>-</v>
          </cell>
          <cell r="D527">
            <v>2.1646337475182201E-4</v>
          </cell>
          <cell r="E527">
            <v>4.3515564309402698E-4</v>
          </cell>
          <cell r="F527">
            <v>5.8382332727223798E-4</v>
          </cell>
          <cell r="G527">
            <v>8.3524004754985295E-4</v>
          </cell>
          <cell r="H527">
            <v>0.39956268044475801</v>
          </cell>
          <cell r="I527">
            <v>0.52884635939643498</v>
          </cell>
        </row>
        <row r="528">
          <cell r="A528" t="str">
            <v>T_TW-BEVELC-S1</v>
          </cell>
          <cell r="B528" t="str">
            <v>VAR_cap</v>
          </cell>
          <cell r="C528" t="str">
            <v>-</v>
          </cell>
          <cell r="D528">
            <v>6.1569636076754209E-3</v>
          </cell>
          <cell r="E528">
            <v>8.5453973938390826E-3</v>
          </cell>
          <cell r="F528">
            <v>9.1289343672479213E-3</v>
          </cell>
          <cell r="G528">
            <v>7.149573693753344E-3</v>
          </cell>
          <cell r="H528">
            <v>0.78715167439351619</v>
          </cell>
          <cell r="I528">
            <v>0.7972204464060838</v>
          </cell>
        </row>
        <row r="529">
          <cell r="A529" t="str">
            <v>T_TW-BEVELC-S2</v>
          </cell>
          <cell r="B529" t="str">
            <v>VAR_fout</v>
          </cell>
          <cell r="C529" t="str">
            <v>TPTWL</v>
          </cell>
          <cell r="D529">
            <v>2.3297063405585089E-3</v>
          </cell>
          <cell r="E529">
            <v>3.329256264059755E-3</v>
          </cell>
          <cell r="F529">
            <v>3.9239967966098552E-3</v>
          </cell>
          <cell r="G529">
            <v>4.075520951146664E-3</v>
          </cell>
          <cell r="H529">
            <v>2.2060802395057707E-3</v>
          </cell>
          <cell r="I529">
            <v>1.2163178918522173E-3</v>
          </cell>
        </row>
        <row r="530">
          <cell r="A530" t="str">
            <v>T_TW-BEVELC-S2</v>
          </cell>
          <cell r="B530" t="str">
            <v>VAR_fin</v>
          </cell>
          <cell r="C530" t="str">
            <v>T-ELC-TWSTGout_S2</v>
          </cell>
          <cell r="D530">
            <v>3.7070527632899737E-4</v>
          </cell>
          <cell r="E530">
            <v>5.2914492922224966E-4</v>
          </cell>
          <cell r="F530">
            <v>6.2239991467395782E-4</v>
          </cell>
          <cell r="G530">
            <v>6.4375770455045043E-4</v>
          </cell>
          <cell r="H530">
            <v>3.3770005330749998E-4</v>
          </cell>
          <cell r="I530">
            <v>1.8378965479079625E-4</v>
          </cell>
        </row>
        <row r="531">
          <cell r="A531" t="str">
            <v>T_TW-BEVELC-S2</v>
          </cell>
          <cell r="B531" t="str">
            <v>VAR_ncap</v>
          </cell>
          <cell r="C531" t="str">
            <v>-</v>
          </cell>
          <cell r="D531">
            <v>7.26755353667104E-5</v>
          </cell>
          <cell r="E531">
            <v>2.0315065628305701E-4</v>
          </cell>
          <cell r="F531">
            <v>2.4894691546741601E-4</v>
          </cell>
          <cell r="G531">
            <v>2.5853989672504699E-4</v>
          </cell>
          <cell r="H531">
            <v>2.5629647669946499E-4</v>
          </cell>
          <cell r="I531">
            <v>1.6579457122864301E-4</v>
          </cell>
        </row>
        <row r="532">
          <cell r="A532" t="str">
            <v>T_TW-BEVELC-S2</v>
          </cell>
          <cell r="B532" t="str">
            <v>VAR_cap</v>
          </cell>
          <cell r="C532" t="str">
            <v>-</v>
          </cell>
          <cell r="D532">
            <v>8.5738593965092229E-4</v>
          </cell>
          <cell r="E532">
            <v>1.1780282045373257E-3</v>
          </cell>
          <cell r="F532">
            <v>1.4269802861365695E-3</v>
          </cell>
          <cell r="G532">
            <v>1.5205032572982826E-3</v>
          </cell>
          <cell r="H532">
            <v>9.3055938904957659E-4</v>
          </cell>
          <cell r="I532">
            <v>5.180331368488326E-4</v>
          </cell>
        </row>
        <row r="533">
          <cell r="A533" t="str">
            <v>T_TW-BEVELC-S3</v>
          </cell>
          <cell r="B533" t="str">
            <v>VAR_fout</v>
          </cell>
          <cell r="C533" t="str">
            <v>TPTWL</v>
          </cell>
          <cell r="D533">
            <v>4.9876273990120197E-4</v>
          </cell>
          <cell r="E533">
            <v>9.847112669241361E-4</v>
          </cell>
          <cell r="F533">
            <v>1.3272416455009201E-3</v>
          </cell>
          <cell r="G533">
            <v>1.587659370540383E-3</v>
          </cell>
          <cell r="H533">
            <v>1.3927896695592552E-3</v>
          </cell>
          <cell r="I533">
            <v>5.6757377994337999E-4</v>
          </cell>
        </row>
        <row r="534">
          <cell r="A534" t="str">
            <v>T_TW-BEVELC-S3</v>
          </cell>
          <cell r="B534" t="str">
            <v>VAR_fin</v>
          </cell>
          <cell r="C534" t="str">
            <v>T-ELC-TWSTGout_S3</v>
          </cell>
          <cell r="D534">
            <v>1.2194260849612276E-4</v>
          </cell>
          <cell r="E534">
            <v>2.4014645190956611E-4</v>
          </cell>
          <cell r="F534">
            <v>3.2260067076333684E-4</v>
          </cell>
          <cell r="G534">
            <v>3.8413404986182436E-4</v>
          </cell>
          <cell r="H534">
            <v>3.3195876563739423E-4</v>
          </cell>
          <cell r="I534">
            <v>1.3148565864110387E-4</v>
          </cell>
        </row>
        <row r="535">
          <cell r="A535" t="str">
            <v>T_TW-BEVELC-S3</v>
          </cell>
          <cell r="B535" t="str">
            <v>VAR_ncap</v>
          </cell>
          <cell r="C535" t="str">
            <v>-</v>
          </cell>
          <cell r="D535">
            <v>7.4629933213597402E-5</v>
          </cell>
          <cell r="E535">
            <v>1.18750787618796E-4</v>
          </cell>
          <cell r="F535">
            <v>1.2752803084773299E-4</v>
          </cell>
          <cell r="G535">
            <v>1.12276271338978E-4</v>
          </cell>
          <cell r="H535">
            <v>6.9256805845654097E-5</v>
          </cell>
          <cell r="I535">
            <v>5.0812357069668999E-5</v>
          </cell>
        </row>
        <row r="536">
          <cell r="A536" t="str">
            <v>T_TW-BEVELC-S3</v>
          </cell>
          <cell r="B536" t="str">
            <v>VAR_cap</v>
          </cell>
          <cell r="C536" t="str">
            <v>-</v>
          </cell>
          <cell r="D536">
            <v>1.8157311903032128E-4</v>
          </cell>
          <cell r="E536">
            <v>3.5485335226316268E-4</v>
          </cell>
          <cell r="F536">
            <v>4.8246432337536283E-4</v>
          </cell>
          <cell r="G536">
            <v>5.945770311205998E-4</v>
          </cell>
          <cell r="H536">
            <v>5.6733750111615823E-4</v>
          </cell>
          <cell r="I536">
            <v>2.3747031152089343E-4</v>
          </cell>
        </row>
        <row r="537">
          <cell r="A537" t="str">
            <v>T_TW-BEVELC-S4</v>
          </cell>
          <cell r="B537" t="str">
            <v>VAR_fout</v>
          </cell>
          <cell r="C537" t="str">
            <v>TPTWL</v>
          </cell>
          <cell r="D537">
            <v>5.3874760795474103E-4</v>
          </cell>
          <cell r="E537">
            <v>9.6055285001566142E-4</v>
          </cell>
          <cell r="F537">
            <v>1.3452826510604878E-3</v>
          </cell>
          <cell r="G537">
            <v>1.5774809681182661E-3</v>
          </cell>
          <cell r="H537">
            <v>1.9346727503452483E-3</v>
          </cell>
          <cell r="I537">
            <v>1.04554317317606E-3</v>
          </cell>
        </row>
        <row r="538">
          <cell r="A538" t="str">
            <v>T_TW-BEVELC-S4</v>
          </cell>
          <cell r="B538" t="str">
            <v>VAR_fin</v>
          </cell>
          <cell r="C538" t="str">
            <v>T-ELC-TWSTGout_S4</v>
          </cell>
          <cell r="D538">
            <v>1.4309162151162437E-4</v>
          </cell>
          <cell r="E538">
            <v>2.5441542740399232E-4</v>
          </cell>
          <cell r="F538">
            <v>3.5488150419110492E-4</v>
          </cell>
          <cell r="G538">
            <v>4.1421487534233783E-4</v>
          </cell>
          <cell r="H538">
            <v>5.0220891233528477E-4</v>
          </cell>
          <cell r="I538">
            <v>2.6536605104872607E-4</v>
          </cell>
        </row>
        <row r="539">
          <cell r="A539" t="str">
            <v>T_TW-BEVELC-S4</v>
          </cell>
          <cell r="B539" t="str">
            <v>VAR_ncap</v>
          </cell>
          <cell r="C539" t="str">
            <v>-</v>
          </cell>
          <cell r="D539">
            <v>1.8236528980210899E-4</v>
          </cell>
          <cell r="E539">
            <v>1.3517724790038899E-4</v>
          </cell>
          <cell r="F539">
            <v>1.4058326218984799E-4</v>
          </cell>
          <cell r="G539">
            <v>1.0381530596025399E-4</v>
          </cell>
          <cell r="H539">
            <v>8.5729977326182797E-5</v>
          </cell>
          <cell r="I539">
            <v>5.8916444572757198E-5</v>
          </cell>
        </row>
        <row r="540">
          <cell r="A540" t="str">
            <v>T_TW-BEVELC-S4</v>
          </cell>
          <cell r="B540" t="str">
            <v>VAR_cap</v>
          </cell>
          <cell r="C540" t="str">
            <v>-</v>
          </cell>
          <cell r="D540">
            <v>1.9533295963176418E-4</v>
          </cell>
          <cell r="E540">
            <v>3.4415664931051028E-4</v>
          </cell>
          <cell r="F540">
            <v>4.8481619187946338E-4</v>
          </cell>
          <cell r="G540">
            <v>5.8834353273985274E-4</v>
          </cell>
          <cell r="H540">
            <v>8.045427605191959E-4</v>
          </cell>
          <cell r="I540">
            <v>4.4591144407694861E-4</v>
          </cell>
        </row>
        <row r="541">
          <cell r="A541" t="str">
            <v>T_B_u-BeVELCEXT</v>
          </cell>
          <cell r="B541" t="str">
            <v>VAR_fout</v>
          </cell>
          <cell r="C541" t="str">
            <v>TPBSu</v>
          </cell>
          <cell r="D541">
            <v>1.9757997311968651E-3</v>
          </cell>
          <cell r="E541">
            <v>1.613873323609596E-3</v>
          </cell>
          <cell r="F541">
            <v>1.0073674398708404E-3</v>
          </cell>
        </row>
        <row r="542">
          <cell r="A542" t="str">
            <v>T_B_u-BeVELCEXT</v>
          </cell>
          <cell r="B542" t="str">
            <v>VAR_fin</v>
          </cell>
          <cell r="C542" t="str">
            <v>TELC</v>
          </cell>
          <cell r="D542">
            <v>4.7148325875690514E-4</v>
          </cell>
          <cell r="E542">
            <v>4.7836175564923986E-4</v>
          </cell>
          <cell r="F542">
            <v>4.6887654970222494E-4</v>
          </cell>
        </row>
        <row r="543">
          <cell r="A543" t="str">
            <v>T_B_u-BeVELCEXT</v>
          </cell>
          <cell r="B543" t="str">
            <v>VAR_cap</v>
          </cell>
          <cell r="C543" t="str">
            <v>-</v>
          </cell>
          <cell r="D543">
            <v>3.77895550061805E-5</v>
          </cell>
          <cell r="E543">
            <v>3.02316440049444E-5</v>
          </cell>
          <cell r="F543">
            <v>1.8894777503090199E-5</v>
          </cell>
        </row>
        <row r="544">
          <cell r="A544" t="str">
            <v>T_B_u-HYBDSL-S1</v>
          </cell>
          <cell r="B544" t="str">
            <v>VAR_fout</v>
          </cell>
          <cell r="C544" t="str">
            <v>CO2_T</v>
          </cell>
          <cell r="E544">
            <v>2.5398975973484501</v>
          </cell>
          <cell r="F544">
            <v>2.6072398848681635</v>
          </cell>
          <cell r="G544">
            <v>3.8600678438188388E-2</v>
          </cell>
          <cell r="H544">
            <v>6.958789083020144</v>
          </cell>
          <cell r="I544">
            <v>8.2607419632253709</v>
          </cell>
        </row>
        <row r="545">
          <cell r="A545" t="str">
            <v>T_B_u-HYBDSL-S1</v>
          </cell>
          <cell r="B545" t="str">
            <v>VAR_fout</v>
          </cell>
          <cell r="C545" t="str">
            <v>TPBSu</v>
          </cell>
          <cell r="E545">
            <v>5.6312163079930344E-3</v>
          </cell>
          <cell r="F545">
            <v>5.7883753529191359E-3</v>
          </cell>
          <cell r="G545">
            <v>9.2503413910360513E-5</v>
          </cell>
          <cell r="H545">
            <v>1.861539980220131E-2</v>
          </cell>
          <cell r="I545">
            <v>2.534235076152996E-2</v>
          </cell>
        </row>
        <row r="546">
          <cell r="A546" t="str">
            <v>T_B_u-HYBDSL-S1</v>
          </cell>
          <cell r="B546" t="str">
            <v>VAR_fin</v>
          </cell>
          <cell r="C546" t="str">
            <v>TDSL</v>
          </cell>
          <cell r="E546">
            <v>3.4650717562734724E-2</v>
          </cell>
          <cell r="F546">
            <v>3.5569439084149473E-2</v>
          </cell>
          <cell r="G546">
            <v>5.2661225700120448E-4</v>
          </cell>
          <cell r="H546">
            <v>9.4935731009824609E-2</v>
          </cell>
          <cell r="I546">
            <v>0.11269770754741293</v>
          </cell>
        </row>
        <row r="547">
          <cell r="A547" t="str">
            <v>T_B_u-HYBDSL-S1</v>
          </cell>
          <cell r="B547" t="str">
            <v>VAR_ncap</v>
          </cell>
          <cell r="C547" t="str">
            <v>-</v>
          </cell>
          <cell r="E547">
            <v>1.06478166892954E-4</v>
          </cell>
          <cell r="F547">
            <v>3.3214886931525602E-6</v>
          </cell>
          <cell r="G547">
            <v>9.8683030041480901E-7</v>
          </cell>
          <cell r="H547">
            <v>8.1228200283981297E-5</v>
          </cell>
          <cell r="I547">
            <v>6.8109856860814602E-4</v>
          </cell>
        </row>
        <row r="548">
          <cell r="A548" t="str">
            <v>T_B_u-HYBDSL-S1</v>
          </cell>
          <cell r="B548" t="str">
            <v>VAR_cap</v>
          </cell>
          <cell r="C548" t="str">
            <v>-</v>
          </cell>
          <cell r="E548">
            <v>1.06478166892954E-4</v>
          </cell>
          <cell r="F548">
            <v>1.0976352419224315E-4</v>
          </cell>
          <cell r="G548">
            <v>2.0044869680791046E-6</v>
          </cell>
          <cell r="H548">
            <v>5.0067327180327095E-4</v>
          </cell>
          <cell r="I548">
            <v>6.8264638722321494E-4</v>
          </cell>
        </row>
        <row r="549">
          <cell r="A549" t="str">
            <v>T_B_u-HYBDSL-S2</v>
          </cell>
          <cell r="B549" t="str">
            <v>VAR_fout</v>
          </cell>
          <cell r="C549" t="str">
            <v>CO2_T</v>
          </cell>
          <cell r="E549">
            <v>6.2911525137768695E-2</v>
          </cell>
          <cell r="F549">
            <v>0.1014976796717361</v>
          </cell>
          <cell r="G549">
            <v>5.6900081135327504E-2</v>
          </cell>
          <cell r="H549">
            <v>6.3279309491668143E-2</v>
          </cell>
          <cell r="I549">
            <v>5.8757927825171903E-3</v>
          </cell>
        </row>
        <row r="550">
          <cell r="A550" t="str">
            <v>T_B_u-HYBDSL-S2</v>
          </cell>
          <cell r="B550" t="str">
            <v>VAR_fout</v>
          </cell>
          <cell r="C550" t="str">
            <v>TPBSu</v>
          </cell>
          <cell r="E550">
            <v>9.9983780078113943E-5</v>
          </cell>
          <cell r="F550">
            <v>1.6430411027461899E-4</v>
          </cell>
          <cell r="G550">
            <v>9.700492044238283E-5</v>
          </cell>
          <cell r="H550">
            <v>1.2179581951795242E-4</v>
          </cell>
          <cell r="I550">
            <v>1.1998292366930358E-5</v>
          </cell>
        </row>
        <row r="551">
          <cell r="A551" t="str">
            <v>T_B_u-HYBDSL-S2</v>
          </cell>
          <cell r="B551" t="str">
            <v>VAR_fin</v>
          </cell>
          <cell r="C551" t="str">
            <v>TDSL</v>
          </cell>
          <cell r="E551">
            <v>8.5827455849616188E-4</v>
          </cell>
          <cell r="F551">
            <v>1.3846886721928539E-3</v>
          </cell>
          <cell r="G551">
            <v>7.7626304413816471E-4</v>
          </cell>
          <cell r="H551">
            <v>8.632920803774652E-4</v>
          </cell>
          <cell r="I551">
            <v>8.0160883799688915E-5</v>
          </cell>
        </row>
        <row r="552">
          <cell r="A552" t="str">
            <v>T_B_u-HYBDSL-S2</v>
          </cell>
          <cell r="B552" t="str">
            <v>VAR_ncap</v>
          </cell>
          <cell r="C552" t="str">
            <v>-</v>
          </cell>
          <cell r="E552">
            <v>1.9689443412717999E-6</v>
          </cell>
          <cell r="F552">
            <v>1.21211850552801E-6</v>
          </cell>
          <cell r="G552">
            <v>7.3659669090811496E-7</v>
          </cell>
          <cell r="H552">
            <v>8.3010836431099604E-7</v>
          </cell>
          <cell r="I552">
            <v>1.5048660577515999E-7</v>
          </cell>
        </row>
        <row r="553">
          <cell r="A553" t="str">
            <v>T_B_u-HYBDSL-S2</v>
          </cell>
          <cell r="B553" t="str">
            <v>VAR_cap</v>
          </cell>
          <cell r="C553" t="str">
            <v>-</v>
          </cell>
          <cell r="E553">
            <v>1.9689443412717999E-6</v>
          </cell>
          <cell r="F553">
            <v>3.1810628467997999E-6</v>
          </cell>
          <cell r="G553">
            <v>1.8637102516639699E-6</v>
          </cell>
          <cell r="H553">
            <v>2.8677800863556698E-6</v>
          </cell>
          <cell r="I553">
            <v>3.6428147731811708E-7</v>
          </cell>
        </row>
        <row r="554">
          <cell r="A554" t="str">
            <v>T_B_u-HYBDSL-S3</v>
          </cell>
          <cell r="B554" t="str">
            <v>VAR_fout</v>
          </cell>
          <cell r="C554" t="str">
            <v>CO2_T</v>
          </cell>
          <cell r="E554">
            <v>0.161212130921606</v>
          </cell>
          <cell r="F554">
            <v>14.770514441620216</v>
          </cell>
          <cell r="G554">
            <v>14.780683910893787</v>
          </cell>
          <cell r="H554">
            <v>6.3545406312355696E-2</v>
          </cell>
          <cell r="I554">
            <v>8.6872468507355103E-4</v>
          </cell>
        </row>
        <row r="555">
          <cell r="A555" t="str">
            <v>T_B_u-HYBDSL-S3</v>
          </cell>
          <cell r="B555" t="str">
            <v>VAR_fout</v>
          </cell>
          <cell r="C555" t="str">
            <v>TPBSu</v>
          </cell>
          <cell r="E555">
            <v>1.720677295065258E-4</v>
          </cell>
          <cell r="F555">
            <v>1.655566050241428E-2</v>
          </cell>
          <cell r="G555">
            <v>1.6577548554324435E-2</v>
          </cell>
          <cell r="H555">
            <v>8.2346964634647822E-5</v>
          </cell>
          <cell r="I555">
            <v>1.2203166158386295E-6</v>
          </cell>
        </row>
        <row r="556">
          <cell r="A556" t="str">
            <v>T_B_u-HYBDSL-S3</v>
          </cell>
          <cell r="B556" t="str">
            <v>VAR_fin</v>
          </cell>
          <cell r="C556" t="str">
            <v>TDSL</v>
          </cell>
          <cell r="E556">
            <v>2.199346942995986E-3</v>
          </cell>
          <cell r="F556">
            <v>0.2015077004313805</v>
          </cell>
          <cell r="G556">
            <v>0.20164643807494967</v>
          </cell>
          <cell r="H556">
            <v>8.6692232349734957E-4</v>
          </cell>
          <cell r="I556">
            <v>1.1851632811371777E-5</v>
          </cell>
        </row>
        <row r="557">
          <cell r="A557" t="str">
            <v>T_B_u-HYBDSL-S3</v>
          </cell>
          <cell r="B557" t="str">
            <v>VAR_ncap</v>
          </cell>
          <cell r="C557" t="str">
            <v>-</v>
          </cell>
          <cell r="E557">
            <v>3.3023036058594398E-6</v>
          </cell>
          <cell r="F557">
            <v>3.0895085388987098E-4</v>
          </cell>
          <cell r="G557">
            <v>1.73714609515418E-6</v>
          </cell>
          <cell r="H557">
            <v>3.7745231830054902E-7</v>
          </cell>
          <cell r="I557">
            <v>5.1650815313023899E-8</v>
          </cell>
        </row>
        <row r="558">
          <cell r="A558" t="str">
            <v>T_B_u-HYBDSL-S3</v>
          </cell>
          <cell r="B558" t="str">
            <v>VAR_cap</v>
          </cell>
          <cell r="C558" t="str">
            <v>-</v>
          </cell>
          <cell r="E558">
            <v>3.3023036058594398E-6</v>
          </cell>
          <cell r="F558">
            <v>3.1225315749573002E-4</v>
          </cell>
          <cell r="G558">
            <v>3.1262057013283282E-4</v>
          </cell>
          <cell r="H558">
            <v>1.6745125254683599E-6</v>
          </cell>
          <cell r="I558">
            <v>9.5512624195171296E-8</v>
          </cell>
        </row>
        <row r="559">
          <cell r="A559" t="str">
            <v>T_C-HY-GSL-S1</v>
          </cell>
          <cell r="B559" t="str">
            <v>VAR_fout</v>
          </cell>
          <cell r="C559" t="str">
            <v>CO2_T</v>
          </cell>
          <cell r="D559">
            <v>3.2732589725663939</v>
          </cell>
          <cell r="E559">
            <v>3.6025582315462104</v>
          </cell>
          <cell r="F559">
            <v>3.4226398326000762</v>
          </cell>
          <cell r="G559">
            <v>74.935358494462548</v>
          </cell>
          <cell r="H559">
            <v>130.22677218836586</v>
          </cell>
          <cell r="I559">
            <v>1.087155516725522E-2</v>
          </cell>
        </row>
        <row r="560">
          <cell r="A560" t="str">
            <v>T_C-HY-GSL-S1</v>
          </cell>
          <cell r="B560" t="str">
            <v>VAR_fout</v>
          </cell>
          <cell r="C560" t="str">
            <v>TPCAR</v>
          </cell>
          <cell r="D560">
            <v>5.0806137278218262E-2</v>
          </cell>
          <cell r="E560">
            <v>6.0360695765686902E-2</v>
          </cell>
          <cell r="F560">
            <v>5.4170934058014257E-2</v>
          </cell>
          <cell r="G560">
            <v>0.90585943112605438</v>
          </cell>
          <cell r="H560">
            <v>1.6443501988366833</v>
          </cell>
          <cell r="I560">
            <v>1.3967461588511044E-4</v>
          </cell>
        </row>
        <row r="561">
          <cell r="A561" t="str">
            <v>T_C-HY-GSL-S1</v>
          </cell>
          <cell r="B561" t="str">
            <v>VAR_fin</v>
          </cell>
          <cell r="C561" t="str">
            <v>TGSL</v>
          </cell>
          <cell r="D561">
            <v>4.4353102609300671E-2</v>
          </cell>
          <cell r="E561">
            <v>4.8815152188973136E-2</v>
          </cell>
          <cell r="F561">
            <v>4.6377233504066036E-2</v>
          </cell>
          <cell r="G561">
            <v>1.0153842614425828</v>
          </cell>
          <cell r="H561">
            <v>1.7645904090564459</v>
          </cell>
          <cell r="I561">
            <v>1.4731104562676442E-4</v>
          </cell>
        </row>
        <row r="562">
          <cell r="A562" t="str">
            <v>T_C-HY-GSL-S1</v>
          </cell>
          <cell r="B562" t="str">
            <v>VAR_ncap</v>
          </cell>
          <cell r="C562" t="str">
            <v>-</v>
          </cell>
          <cell r="E562">
            <v>6.3451981621501599E-4</v>
          </cell>
          <cell r="F562">
            <v>1.14749686691702E-3</v>
          </cell>
          <cell r="G562">
            <v>0.13820850114264899</v>
          </cell>
          <cell r="H562">
            <v>0.104709223078695</v>
          </cell>
        </row>
        <row r="563">
          <cell r="A563" t="str">
            <v>T_C-HY-GSL-S1</v>
          </cell>
          <cell r="B563" t="str">
            <v>VAR_cap</v>
          </cell>
          <cell r="C563" t="str">
            <v>-</v>
          </cell>
          <cell r="D563">
            <v>5.6680032272358946E-3</v>
          </cell>
          <cell r="E563">
            <v>7.1842167093795883E-3</v>
          </cell>
          <cell r="F563">
            <v>8.1746655850052068E-3</v>
          </cell>
          <cell r="G563">
            <v>0.13764131379531394</v>
          </cell>
          <cell r="H563">
            <v>0.24989069353918625</v>
          </cell>
          <cell r="I563">
            <v>2.0503931650192597E-5</v>
          </cell>
        </row>
        <row r="564">
          <cell r="A564" t="str">
            <v>T_B_u-HYBDSL-S4</v>
          </cell>
          <cell r="B564" t="str">
            <v>VAR_fout</v>
          </cell>
          <cell r="C564" t="str">
            <v>CO2_T</v>
          </cell>
          <cell r="E564">
            <v>5.5160140727628197E-3</v>
          </cell>
          <cell r="F564">
            <v>1.06092425362699E-2</v>
          </cell>
          <cell r="G564">
            <v>7.3166422694514602E-3</v>
          </cell>
          <cell r="H564">
            <v>3.7189295753952299E-3</v>
          </cell>
        </row>
        <row r="565">
          <cell r="A565" t="str">
            <v>T_B_u-HYBDSL-S4</v>
          </cell>
          <cell r="B565" t="str">
            <v>VAR_fout</v>
          </cell>
          <cell r="C565" t="str">
            <v>TPBSu</v>
          </cell>
          <cell r="E565">
            <v>3.9696819162827637E-6</v>
          </cell>
          <cell r="F565">
            <v>7.8023734218908577E-6</v>
          </cell>
          <cell r="G565">
            <v>5.6601031874996936E-6</v>
          </cell>
          <cell r="H565">
            <v>3.2901128666758217E-6</v>
          </cell>
        </row>
        <row r="566">
          <cell r="A566" t="str">
            <v>T_B_u-HYBDSL-S4</v>
          </cell>
          <cell r="B566" t="str">
            <v>VAR_fin</v>
          </cell>
          <cell r="C566" t="str">
            <v>TDSL</v>
          </cell>
          <cell r="E566">
            <v>7.5252579437419125E-5</v>
          </cell>
          <cell r="F566">
            <v>1.4473727880313637E-4</v>
          </cell>
          <cell r="G566">
            <v>9.9817766295381299E-5</v>
          </cell>
          <cell r="H566">
            <v>5.0735737727083599E-5</v>
          </cell>
        </row>
        <row r="567">
          <cell r="A567" t="str">
            <v>T_B_u-HYBDSL-S4</v>
          </cell>
          <cell r="B567" t="str">
            <v>VAR_ncap</v>
          </cell>
          <cell r="C567" t="str">
            <v>-</v>
          </cell>
          <cell r="E567">
            <v>7.8887297999154495E-8</v>
          </cell>
          <cell r="F567">
            <v>6.3681945593634001E-8</v>
          </cell>
          <cell r="G567">
            <v>4.2701856727388499E-8</v>
          </cell>
        </row>
        <row r="568">
          <cell r="A568" t="str">
            <v>T_B_u-HYBDSL-S4</v>
          </cell>
          <cell r="B568" t="str">
            <v>VAR_cap</v>
          </cell>
          <cell r="C568" t="str">
            <v>-</v>
          </cell>
          <cell r="E568">
            <v>7.8887297999154495E-8</v>
          </cell>
          <cell r="F568">
            <v>1.4256924359278801E-7</v>
          </cell>
          <cell r="G568">
            <v>1.1324479698836701E-7</v>
          </cell>
          <cell r="H568">
            <v>2.1522434532171202E-8</v>
          </cell>
        </row>
        <row r="569">
          <cell r="A569" t="str">
            <v>TFRLFDSLEXT</v>
          </cell>
          <cell r="B569" t="str">
            <v>VAR_fout</v>
          </cell>
          <cell r="C569" t="str">
            <v>CO2_T</v>
          </cell>
          <cell r="D569">
            <v>29.033002704371899</v>
          </cell>
          <cell r="E569">
            <v>28.9965766628453</v>
          </cell>
          <cell r="F569">
            <v>0.147756971909899</v>
          </cell>
          <cell r="G569">
            <v>0.113931705467854</v>
          </cell>
        </row>
        <row r="570">
          <cell r="A570" t="str">
            <v>TFRLFDSLEXT</v>
          </cell>
          <cell r="B570" t="str">
            <v>VAR_fout</v>
          </cell>
          <cell r="C570" t="str">
            <v>TFRLF</v>
          </cell>
          <cell r="D570">
            <v>1.6053602335069962E-3</v>
          </cell>
          <cell r="E570">
            <v>1.6033460801958047E-3</v>
          </cell>
          <cell r="F570">
            <v>8.1701217522307047E-6</v>
          </cell>
          <cell r="G570">
            <v>6.2997765389999677E-6</v>
          </cell>
        </row>
        <row r="571">
          <cell r="A571" t="str">
            <v>TFRLFDSLEXT</v>
          </cell>
          <cell r="B571" t="str">
            <v>VAR_fin</v>
          </cell>
          <cell r="C571" t="str">
            <v>TDSL</v>
          </cell>
          <cell r="D571">
            <v>0.39608462079634232</v>
          </cell>
          <cell r="E571">
            <v>0.39558767616432899</v>
          </cell>
          <cell r="F571">
            <v>2.0157840642550996E-3</v>
          </cell>
          <cell r="G571">
            <v>1.5543206748684056E-3</v>
          </cell>
        </row>
        <row r="572">
          <cell r="A572" t="str">
            <v>TFRLFDSLEXT</v>
          </cell>
          <cell r="B572" t="str">
            <v>VAR_ncap</v>
          </cell>
          <cell r="C572" t="str">
            <v>-</v>
          </cell>
          <cell r="D572">
            <v>1.4823452086048901E-4</v>
          </cell>
        </row>
        <row r="573">
          <cell r="A573" t="str">
            <v>TFRLFDSLEXT</v>
          </cell>
          <cell r="B573" t="str">
            <v>VAR_cap</v>
          </cell>
          <cell r="C573" t="str">
            <v>-</v>
          </cell>
          <cell r="D573">
            <v>1.4823452086048901E-4</v>
          </cell>
          <cell r="E573">
            <v>1.4823452086048901E-4</v>
          </cell>
          <cell r="F573">
            <v>8.5006052795601325E-7</v>
          </cell>
          <cell r="G573">
            <v>6.4295376077399711E-7</v>
          </cell>
          <cell r="H573">
            <v>5.9656203041998524E-8</v>
          </cell>
          <cell r="I573">
            <v>7.3268506924008443E-9</v>
          </cell>
        </row>
        <row r="574">
          <cell r="A574" t="str">
            <v>T_C-HY-GSL-S2</v>
          </cell>
          <cell r="B574" t="str">
            <v>VAR_fout</v>
          </cell>
          <cell r="C574" t="str">
            <v>CO2_T</v>
          </cell>
          <cell r="D574">
            <v>9.8251058394019797</v>
          </cell>
          <cell r="E574">
            <v>34.131182710484126</v>
          </cell>
          <cell r="F574">
            <v>106.1374343906899</v>
          </cell>
          <cell r="G574">
            <v>476.22135838695476</v>
          </cell>
          <cell r="H574">
            <v>159.36222570733798</v>
          </cell>
          <cell r="I574">
            <v>1.2886655923988801E-2</v>
          </cell>
        </row>
        <row r="575">
          <cell r="A575" t="str">
            <v>T_C-HY-GSL-S2</v>
          </cell>
          <cell r="B575" t="str">
            <v>VAR_fout</v>
          </cell>
          <cell r="C575" t="str">
            <v>TPCAR</v>
          </cell>
          <cell r="D575">
            <v>0.21765044606332656</v>
          </cell>
          <cell r="E575">
            <v>1.0417645804756017</v>
          </cell>
          <cell r="F575">
            <v>2.8569319206743011</v>
          </cell>
          <cell r="G575">
            <v>6.252462121028711</v>
          </cell>
          <cell r="H575">
            <v>1.6941318665431051</v>
          </cell>
          <cell r="I575">
            <v>1.3763962660155526E-4</v>
          </cell>
        </row>
        <row r="576">
          <cell r="A576" t="str">
            <v>T_C-HY-GSL-S2</v>
          </cell>
          <cell r="B576" t="str">
            <v>VAR_fin</v>
          </cell>
          <cell r="C576" t="str">
            <v>TGSL</v>
          </cell>
          <cell r="D576">
            <v>0.13313151543905111</v>
          </cell>
          <cell r="E576">
            <v>0.46248215054856523</v>
          </cell>
          <cell r="F576">
            <v>1.4381766177600261</v>
          </cell>
          <cell r="G576">
            <v>6.4528639347825951</v>
          </cell>
          <cell r="H576">
            <v>2.1593797521319584</v>
          </cell>
          <cell r="I576">
            <v>1.7461593392938753E-4</v>
          </cell>
        </row>
        <row r="577">
          <cell r="A577" t="str">
            <v>T_C-HY-GSL-S2</v>
          </cell>
          <cell r="B577" t="str">
            <v>VAR_ncap</v>
          </cell>
          <cell r="C577" t="str">
            <v>-</v>
          </cell>
          <cell r="E577">
            <v>5.0483737927288101E-2</v>
          </cell>
          <cell r="F577">
            <v>0.14414997220852299</v>
          </cell>
          <cell r="G577">
            <v>0.30515773316533901</v>
          </cell>
          <cell r="H577">
            <v>2.5446413372729001E-5</v>
          </cell>
        </row>
        <row r="578">
          <cell r="A578" t="str">
            <v>T_C-HY-GSL-S2</v>
          </cell>
          <cell r="B578" t="str">
            <v>VAR_cap</v>
          </cell>
          <cell r="C578" t="str">
            <v>-</v>
          </cell>
          <cell r="D578">
            <v>1.7225757674007438E-2</v>
          </cell>
          <cell r="E578">
            <v>7.9041878226841139E-2</v>
          </cell>
          <cell r="F578">
            <v>0.21733921021040489</v>
          </cell>
          <cell r="G578">
            <v>0.47457568341049866</v>
          </cell>
          <cell r="H578">
            <v>0.1739743615030194</v>
          </cell>
          <cell r="I578">
            <v>1.3925585316199723E-5</v>
          </cell>
        </row>
        <row r="579">
          <cell r="A579" t="str">
            <v>TPSHPNGAEXT</v>
          </cell>
          <cell r="B579" t="str">
            <v>VAR_ncap</v>
          </cell>
          <cell r="C579" t="str">
            <v>-</v>
          </cell>
          <cell r="D579">
            <v>4.6149854773429404E-6</v>
          </cell>
          <cell r="E579">
            <v>6.7055139167831299E-6</v>
          </cell>
          <cell r="F579">
            <v>1.01161905628894E-5</v>
          </cell>
          <cell r="G579">
            <v>5.77687918947627E-6</v>
          </cell>
          <cell r="H579">
            <v>3.75293359296757E-6</v>
          </cell>
          <cell r="I579">
            <v>2.09524039453814E-6</v>
          </cell>
        </row>
        <row r="580">
          <cell r="A580" t="str">
            <v>TPSHPNGAEXT</v>
          </cell>
          <cell r="B580" t="str">
            <v>VAR_cap</v>
          </cell>
          <cell r="C580" t="str">
            <v>-</v>
          </cell>
          <cell r="D580">
            <v>4.6149854773429404E-6</v>
          </cell>
          <cell r="E580">
            <v>1.1320499394126101E-5</v>
          </cell>
          <cell r="F580">
            <v>1.5982361946609898E-5</v>
          </cell>
          <cell r="G580">
            <v>1.1256870522698101E-5</v>
          </cell>
          <cell r="H580">
            <v>-7.7888979872933983E-6</v>
          </cell>
          <cell r="I580">
            <v>-1.2509673535969888E-7</v>
          </cell>
        </row>
        <row r="581">
          <cell r="A581" t="str">
            <v>T_C-HY-DSL-S1</v>
          </cell>
          <cell r="B581" t="str">
            <v>VAR_fout</v>
          </cell>
          <cell r="C581" t="str">
            <v>CO2_T</v>
          </cell>
          <cell r="D581">
            <v>2.4688222416475399E-3</v>
          </cell>
          <cell r="E581">
            <v>16.906508657324608</v>
          </cell>
          <cell r="F581">
            <v>12.832990508156849</v>
          </cell>
          <cell r="G581">
            <v>15.483878581785568</v>
          </cell>
          <cell r="H581">
            <v>52.553736207753481</v>
          </cell>
          <cell r="I581">
            <v>7.94516722106379E-3</v>
          </cell>
        </row>
        <row r="582">
          <cell r="A582" t="str">
            <v>T_C-HY-DSL-S1</v>
          </cell>
          <cell r="B582" t="str">
            <v>VAR_fout</v>
          </cell>
          <cell r="C582" t="str">
            <v>TPCAR</v>
          </cell>
          <cell r="D582">
            <v>1.4086809261165372E-5</v>
          </cell>
          <cell r="E582">
            <v>0.39155610443762734</v>
          </cell>
          <cell r="F582">
            <v>0.29041079147646343</v>
          </cell>
          <cell r="G582">
            <v>0.29620511145406725</v>
          </cell>
          <cell r="H582">
            <v>0.67504428654350135</v>
          </cell>
          <cell r="I582">
            <v>1.0266922147289406E-4</v>
          </cell>
        </row>
        <row r="583">
          <cell r="A583" t="str">
            <v>T_C-HY-DSL-S1</v>
          </cell>
          <cell r="B583" t="str">
            <v>VAR_fin</v>
          </cell>
          <cell r="C583" t="str">
            <v>TDSL</v>
          </cell>
          <cell r="D583">
            <v>3.3681067416746798E-5</v>
          </cell>
          <cell r="E583">
            <v>0.23064813993621552</v>
          </cell>
          <cell r="F583">
            <v>0.17507490461332678</v>
          </cell>
          <cell r="G583">
            <v>0.21123981694114038</v>
          </cell>
          <cell r="H583">
            <v>0.71696775181109851</v>
          </cell>
          <cell r="I583">
            <v>1.0839245867754162E-4</v>
          </cell>
        </row>
        <row r="584">
          <cell r="A584" t="str">
            <v>T_C-HY-DSL-S1</v>
          </cell>
          <cell r="B584" t="str">
            <v>VAR_ncap</v>
          </cell>
          <cell r="C584" t="str">
            <v>-</v>
          </cell>
          <cell r="E584">
            <v>4.23991700216199E-2</v>
          </cell>
          <cell r="F584">
            <v>4.7377580965013702E-3</v>
          </cell>
          <cell r="G584">
            <v>9.7355827692184697E-3</v>
          </cell>
          <cell r="H584">
            <v>4.4451699571665899E-2</v>
          </cell>
        </row>
        <row r="585">
          <cell r="A585" t="str">
            <v>T_C-HY-DSL-S1</v>
          </cell>
          <cell r="B585" t="str">
            <v>VAR_cap</v>
          </cell>
          <cell r="C585" t="str">
            <v>-</v>
          </cell>
          <cell r="D585">
            <v>1.5999999999999999E-6</v>
          </cell>
          <cell r="E585">
            <v>4.1836303472325094E-2</v>
          </cell>
          <cell r="F585">
            <v>4.4116379842947029E-2</v>
          </cell>
          <cell r="G585">
            <v>4.5005049930172007E-2</v>
          </cell>
          <cell r="H585">
            <v>0.10257963176393887</v>
          </cell>
          <cell r="I585">
            <v>1.4995688747999891E-5</v>
          </cell>
        </row>
        <row r="586">
          <cell r="A586" t="str">
            <v>T_C-HY-GSL-S3</v>
          </cell>
          <cell r="B586" t="str">
            <v>VAR_fout</v>
          </cell>
          <cell r="C586" t="str">
            <v>CO2_T</v>
          </cell>
          <cell r="D586">
            <v>7.3116073465738189</v>
          </cell>
          <cell r="E586">
            <v>40.606898898542966</v>
          </cell>
          <cell r="F586">
            <v>38.595804065155583</v>
          </cell>
          <cell r="G586">
            <v>30.836683062985589</v>
          </cell>
          <cell r="H586">
            <v>9.1778626681008307E-2</v>
          </cell>
          <cell r="I586">
            <v>1.0938835902081931E-2</v>
          </cell>
        </row>
        <row r="587">
          <cell r="A587" t="str">
            <v>T_C-HY-GSL-S3</v>
          </cell>
          <cell r="B587" t="str">
            <v>VAR_fout</v>
          </cell>
          <cell r="C587" t="str">
            <v>TPCAR</v>
          </cell>
          <cell r="D587">
            <v>0.19817889289934004</v>
          </cell>
          <cell r="E587">
            <v>1.340861746963772</v>
          </cell>
          <cell r="F587">
            <v>1.2712424550198742</v>
          </cell>
          <cell r="G587">
            <v>1.0282549985935778</v>
          </cell>
          <cell r="H587">
            <v>9.3396059783308009E-4</v>
          </cell>
          <cell r="I587">
            <v>1.0459548904752831E-4</v>
          </cell>
        </row>
        <row r="588">
          <cell r="A588" t="str">
            <v>T_C-HY-GSL-S3</v>
          </cell>
          <cell r="B588" t="str">
            <v>VAR_fin</v>
          </cell>
          <cell r="C588" t="str">
            <v>TGSL</v>
          </cell>
          <cell r="D588">
            <v>9.9073270278778089E-2</v>
          </cell>
          <cell r="E588">
            <v>0.55022898236508089</v>
          </cell>
          <cell r="F588">
            <v>0.5229783748666067</v>
          </cell>
          <cell r="G588">
            <v>0.41784123391579336</v>
          </cell>
          <cell r="H588">
            <v>1.2436128276559397E-3</v>
          </cell>
          <cell r="I588">
            <v>1.482227087002972E-4</v>
          </cell>
        </row>
        <row r="589">
          <cell r="A589" t="str">
            <v>T_C-HY-GSL-S3</v>
          </cell>
          <cell r="B589" t="str">
            <v>VAR_ncap</v>
          </cell>
          <cell r="C589" t="str">
            <v>-</v>
          </cell>
          <cell r="E589">
            <v>6.7163268308480406E-2</v>
          </cell>
          <cell r="F589">
            <v>1.2442434193993E-4</v>
          </cell>
          <cell r="G589">
            <v>7.6871484856124003E-5</v>
          </cell>
          <cell r="H589">
            <v>9.10001464517736E-6</v>
          </cell>
        </row>
        <row r="590">
          <cell r="A590" t="str">
            <v>T_C-HY-GSL-S3</v>
          </cell>
          <cell r="B590" t="str">
            <v>VAR_cap</v>
          </cell>
          <cell r="C590" t="str">
            <v>-</v>
          </cell>
          <cell r="D590">
            <v>1.4247626968055035E-2</v>
          </cell>
          <cell r="E590">
            <v>9.2203740607384302E-2</v>
          </cell>
          <cell r="F590">
            <v>8.7452416720445181E-2</v>
          </cell>
          <cell r="G590">
            <v>7.0722297086082311E-2</v>
          </cell>
          <cell r="H590">
            <v>7.7076539876218294E-5</v>
          </cell>
          <cell r="I590">
            <v>9.6190521390233003E-6</v>
          </cell>
        </row>
        <row r="591">
          <cell r="A591" t="str">
            <v>T_C-HY-DSL-S2</v>
          </cell>
          <cell r="B591" t="str">
            <v>VAR_fout</v>
          </cell>
          <cell r="C591" t="str">
            <v>CO2_T</v>
          </cell>
          <cell r="D591">
            <v>0.19567799630778412</v>
          </cell>
          <cell r="E591">
            <v>29.681101805279489</v>
          </cell>
          <cell r="F591">
            <v>86.646806071561173</v>
          </cell>
          <cell r="G591">
            <v>435.46052595028721</v>
          </cell>
          <cell r="H591">
            <v>179.35878145175542</v>
          </cell>
          <cell r="I591">
            <v>8.4405739414669407E-3</v>
          </cell>
        </row>
        <row r="592">
          <cell r="A592" t="str">
            <v>T_C-HY-DSL-S2</v>
          </cell>
          <cell r="B592" t="str">
            <v>VAR_fout</v>
          </cell>
          <cell r="C592" t="str">
            <v>TPCAR</v>
          </cell>
          <cell r="D592">
            <v>3.1421055671853417E-3</v>
          </cell>
          <cell r="E592">
            <v>1.084203395106357</v>
          </cell>
          <cell r="F592">
            <v>2.5855121606412119</v>
          </cell>
          <cell r="G592">
            <v>5.7930473417006381</v>
          </cell>
          <cell r="H592">
            <v>1.9040285583250727</v>
          </cell>
          <cell r="I592">
            <v>9.0618467306853091E-5</v>
          </cell>
        </row>
        <row r="593">
          <cell r="A593" t="str">
            <v>T_C-HY-DSL-S2</v>
          </cell>
          <cell r="B593" t="str">
            <v>VAR_fin</v>
          </cell>
          <cell r="C593" t="str">
            <v>TDSL</v>
          </cell>
          <cell r="D593">
            <v>2.6695497449902308E-3</v>
          </cell>
          <cell r="E593">
            <v>0.40492635477871086</v>
          </cell>
          <cell r="F593">
            <v>1.1820846667334399</v>
          </cell>
          <cell r="G593">
            <v>5.9407984440693848</v>
          </cell>
          <cell r="H593">
            <v>2.4469137987961234</v>
          </cell>
          <cell r="I593">
            <v>1.1515107696407821E-4</v>
          </cell>
        </row>
        <row r="594">
          <cell r="A594" t="str">
            <v>T_C-HY-DSL-S2</v>
          </cell>
          <cell r="B594" t="str">
            <v>VAR_ncap</v>
          </cell>
          <cell r="C594" t="str">
            <v>-</v>
          </cell>
          <cell r="E594">
            <v>8.2845103813328602E-2</v>
          </cell>
          <cell r="F594">
            <v>0.120235864551775</v>
          </cell>
          <cell r="G594">
            <v>0.28792016415226501</v>
          </cell>
          <cell r="H594">
            <v>2.5270145979210599E-5</v>
          </cell>
        </row>
        <row r="595">
          <cell r="A595" t="str">
            <v>T_C-HY-DSL-S2</v>
          </cell>
          <cell r="B595" t="str">
            <v>VAR_cap</v>
          </cell>
          <cell r="C595" t="str">
            <v>-</v>
          </cell>
          <cell r="D595">
            <v>2.5974838521753302E-4</v>
          </cell>
          <cell r="E595">
            <v>8.2262761288454417E-2</v>
          </cell>
          <cell r="F595">
            <v>0.19619220180701666</v>
          </cell>
          <cell r="G595">
            <v>0.43955317526627113</v>
          </cell>
          <cell r="H595">
            <v>0.19689449908878309</v>
          </cell>
          <cell r="I595">
            <v>9.1056420587001807E-6</v>
          </cell>
        </row>
        <row r="596">
          <cell r="A596" t="str">
            <v>D-T-ELC-Bus_c_S1</v>
          </cell>
          <cell r="B596" t="str">
            <v>VAR_fout</v>
          </cell>
          <cell r="C596" t="str">
            <v>T-ELC-Bus_c_BatSTGin_S1</v>
          </cell>
          <cell r="D596">
            <v>3.4909113528459109E-4</v>
          </cell>
          <cell r="E596">
            <v>6.0924961917201701E-4</v>
          </cell>
          <cell r="F596">
            <v>1.1645379656868044E-3</v>
          </cell>
          <cell r="G596">
            <v>0.14765213441882216</v>
          </cell>
          <cell r="H596">
            <v>0.11695745715194704</v>
          </cell>
          <cell r="I596">
            <v>0.10261784542008891</v>
          </cell>
        </row>
        <row r="597">
          <cell r="A597" t="str">
            <v>D-T-ELC-Bus_c_S1</v>
          </cell>
          <cell r="B597" t="str">
            <v>VAR_fin</v>
          </cell>
          <cell r="C597" t="str">
            <v>TELC</v>
          </cell>
          <cell r="D597">
            <v>3.4909113528459109E-4</v>
          </cell>
          <cell r="E597">
            <v>6.0924961917201701E-4</v>
          </cell>
          <cell r="F597">
            <v>1.1645379656868044E-3</v>
          </cell>
          <cell r="G597">
            <v>0.14765213441882216</v>
          </cell>
          <cell r="H597">
            <v>0.11695745715194704</v>
          </cell>
          <cell r="I597">
            <v>0.10261784542008891</v>
          </cell>
        </row>
        <row r="598">
          <cell r="A598" t="str">
            <v>D-T-ELC-Bus_c_S1</v>
          </cell>
          <cell r="B598" t="str">
            <v>VAR_ncap</v>
          </cell>
          <cell r="C598" t="str">
            <v>-</v>
          </cell>
          <cell r="D598">
            <v>4.8859030347824298E-5</v>
          </cell>
          <cell r="E598">
            <v>2.3089533228767201E-5</v>
          </cell>
          <cell r="F598">
            <v>7.4412097377056605E-5</v>
          </cell>
          <cell r="G598">
            <v>1.8265970904504499E-2</v>
          </cell>
          <cell r="H598">
            <v>1.07860918623139E-2</v>
          </cell>
          <cell r="I598">
            <v>7.4356292998461696E-3</v>
          </cell>
        </row>
        <row r="599">
          <cell r="A599" t="str">
            <v>D-T-ELC-Bus_c_S1</v>
          </cell>
          <cell r="B599" t="str">
            <v>VAR_cap</v>
          </cell>
          <cell r="C599" t="str">
            <v>-</v>
          </cell>
          <cell r="D599">
            <v>4.8859030347824298E-5</v>
          </cell>
          <cell r="E599">
            <v>7.1948563576591505E-5</v>
          </cell>
          <cell r="F599">
            <v>1.4636066095364799E-4</v>
          </cell>
          <cell r="G599">
            <v>1.8396163271514401E-2</v>
          </cell>
          <cell r="H599">
            <v>1.42140514483549E-2</v>
          </cell>
          <cell r="I599">
            <v>1.28787203111486E-2</v>
          </cell>
        </row>
        <row r="600">
          <cell r="A600" t="str">
            <v>T_C-HY-GSL-S4</v>
          </cell>
          <cell r="B600" t="str">
            <v>VAR_fout</v>
          </cell>
          <cell r="C600" t="str">
            <v>CO2_T</v>
          </cell>
          <cell r="D600">
            <v>6.678148019389555</v>
          </cell>
          <cell r="E600">
            <v>10.200967773838009</v>
          </cell>
          <cell r="F600">
            <v>9.8314964161793714</v>
          </cell>
          <cell r="G600">
            <v>8.2803098303607534</v>
          </cell>
          <cell r="H600">
            <v>0.11699139349808013</v>
          </cell>
          <cell r="I600">
            <v>1.543943747044234E-2</v>
          </cell>
        </row>
        <row r="601">
          <cell r="A601" t="str">
            <v>T_C-HY-GSL-S4</v>
          </cell>
          <cell r="B601" t="str">
            <v>VAR_fout</v>
          </cell>
          <cell r="C601" t="str">
            <v>TPCAR</v>
          </cell>
          <cell r="D601">
            <v>0.10359088291747892</v>
          </cell>
          <cell r="E601">
            <v>0.18438763652972487</v>
          </cell>
          <cell r="F601">
            <v>0.17725708373708957</v>
          </cell>
          <cell r="G601">
            <v>0.14958822410468739</v>
          </cell>
          <cell r="H601">
            <v>1.1138438839715546E-3</v>
          </cell>
          <cell r="I601">
            <v>1.4539150820361307E-4</v>
          </cell>
        </row>
        <row r="602">
          <cell r="A602" t="str">
            <v>T_C-HY-GSL-S4</v>
          </cell>
          <cell r="B602" t="str">
            <v>VAR_fin</v>
          </cell>
          <cell r="C602" t="str">
            <v>TGSL</v>
          </cell>
          <cell r="D602">
            <v>9.0489810560834258E-2</v>
          </cell>
          <cell r="E602">
            <v>0.1382244955804609</v>
          </cell>
          <cell r="F602">
            <v>0.13321810862031686</v>
          </cell>
          <cell r="G602">
            <v>0.11219932019458992</v>
          </cell>
          <cell r="H602">
            <v>1.5852492343913316E-3</v>
          </cell>
          <cell r="I602">
            <v>2.0920646978919184E-4</v>
          </cell>
        </row>
        <row r="603">
          <cell r="A603" t="str">
            <v>T_C-HY-GSL-S4</v>
          </cell>
          <cell r="B603" t="str">
            <v>VAR_ncap</v>
          </cell>
          <cell r="C603" t="str">
            <v>-</v>
          </cell>
          <cell r="E603">
            <v>4.5996386565574801E-4</v>
          </cell>
          <cell r="F603">
            <v>1.05579317321052E-4</v>
          </cell>
          <cell r="G603">
            <v>1.0721103027822899E-4</v>
          </cell>
          <cell r="H603">
            <v>1.4199280282945899E-5</v>
          </cell>
        </row>
        <row r="604">
          <cell r="A604" t="str">
            <v>T_C-HY-GSL-S4</v>
          </cell>
          <cell r="B604" t="str">
            <v>VAR_cap</v>
          </cell>
          <cell r="C604" t="str">
            <v>-</v>
          </cell>
          <cell r="D604">
            <v>8.3196352050436441E-3</v>
          </cell>
          <cell r="E604">
            <v>1.4532923224296706E-2</v>
          </cell>
          <cell r="F604">
            <v>1.4033435325024738E-2</v>
          </cell>
          <cell r="G604">
            <v>1.1828656703450968E-2</v>
          </cell>
          <cell r="H604">
            <v>1.1160505574399739E-4</v>
          </cell>
          <cell r="I604">
            <v>1.5673862527556048E-5</v>
          </cell>
        </row>
        <row r="605">
          <cell r="A605" t="str">
            <v>T_C-HY-DSL-S3</v>
          </cell>
          <cell r="B605" t="str">
            <v>VAR_fout</v>
          </cell>
          <cell r="C605" t="str">
            <v>CO2_T</v>
          </cell>
          <cell r="D605">
            <v>2.0098763807010886</v>
          </cell>
          <cell r="E605">
            <v>3.44353262997359</v>
          </cell>
          <cell r="F605">
            <v>3.3437958391070142</v>
          </cell>
          <cell r="G605">
            <v>2.6362079414470432</v>
          </cell>
          <cell r="H605">
            <v>9.0160223101761722E-2</v>
          </cell>
          <cell r="I605">
            <v>7.9199270885912595E-3</v>
          </cell>
        </row>
        <row r="606">
          <cell r="A606" t="str">
            <v>T_C-HY-DSL-S3</v>
          </cell>
          <cell r="B606" t="str">
            <v>VAR_fout</v>
          </cell>
          <cell r="C606" t="str">
            <v>TPCAR</v>
          </cell>
          <cell r="D606">
            <v>2.4938072402513969E-2</v>
          </cell>
          <cell r="E606">
            <v>5.6612504105032442E-2</v>
          </cell>
          <cell r="F606">
            <v>5.4833310835454924E-2</v>
          </cell>
          <cell r="G606">
            <v>4.4846138705486878E-2</v>
          </cell>
          <cell r="H606">
            <v>8.8159826419037057E-4</v>
          </cell>
          <cell r="I606">
            <v>7.6362787947980258E-5</v>
          </cell>
        </row>
        <row r="607">
          <cell r="A607" t="str">
            <v>T_C-HY-DSL-S3</v>
          </cell>
          <cell r="B607" t="str">
            <v>VAR_fin</v>
          </cell>
          <cell r="C607" t="str">
            <v>TDSL</v>
          </cell>
          <cell r="D607">
            <v>2.7419868768091299E-2</v>
          </cell>
          <cell r="E607">
            <v>4.6978617052845791E-2</v>
          </cell>
          <cell r="F607">
            <v>4.5617951420286525E-2</v>
          </cell>
          <cell r="G607">
            <v>3.5964637673220286E-2</v>
          </cell>
          <cell r="H607">
            <v>1.2300166862450441E-3</v>
          </cell>
          <cell r="I607">
            <v>1.0804811853466928E-4</v>
          </cell>
        </row>
        <row r="608">
          <cell r="A608" t="str">
            <v>T_C-HY-DSL-S3</v>
          </cell>
          <cell r="B608" t="str">
            <v>VAR_ncap</v>
          </cell>
          <cell r="C608" t="str">
            <v>-</v>
          </cell>
          <cell r="E608">
            <v>2.2936489020337401E-4</v>
          </cell>
          <cell r="F608">
            <v>9.0548723727379906E-5</v>
          </cell>
          <cell r="G608">
            <v>7.7047609529765605E-5</v>
          </cell>
          <cell r="H608">
            <v>8.1241500603839496E-6</v>
          </cell>
        </row>
        <row r="609">
          <cell r="A609" t="str">
            <v>T_C-HY-DSL-S3</v>
          </cell>
          <cell r="B609" t="str">
            <v>VAR_cap</v>
          </cell>
          <cell r="C609" t="str">
            <v>-</v>
          </cell>
          <cell r="D609">
            <v>1.8558278815203305E-3</v>
          </cell>
          <cell r="E609">
            <v>3.9005689644057047E-3</v>
          </cell>
          <cell r="F609">
            <v>3.8006597266082437E-3</v>
          </cell>
          <cell r="G609">
            <v>3.0994967707982175E-3</v>
          </cell>
          <cell r="H609">
            <v>7.3165942259157562E-5</v>
          </cell>
          <cell r="I609">
            <v>6.9923563574601491E-6</v>
          </cell>
        </row>
        <row r="610">
          <cell r="A610" t="str">
            <v>D-T-ELC-Bus_c_S2</v>
          </cell>
          <cell r="B610" t="str">
            <v>VAR_fout</v>
          </cell>
          <cell r="C610" t="str">
            <v>T-ELC-Bus_c_BatSTGin_S2</v>
          </cell>
          <cell r="D610">
            <v>6.3858214436400833E-4</v>
          </cell>
          <cell r="E610">
            <v>7.1596698144021128E-4</v>
          </cell>
          <cell r="F610">
            <v>1.3589665126686149E-3</v>
          </cell>
          <cell r="G610">
            <v>0.17191528668396383</v>
          </cell>
          <cell r="H610">
            <v>0.17018414523405756</v>
          </cell>
          <cell r="I610">
            <v>0.15097133606403851</v>
          </cell>
        </row>
        <row r="611">
          <cell r="A611" t="str">
            <v>D-T-ELC-Bus_c_S2</v>
          </cell>
          <cell r="B611" t="str">
            <v>VAR_fin</v>
          </cell>
          <cell r="C611" t="str">
            <v>TELC</v>
          </cell>
          <cell r="D611">
            <v>6.3858214436400833E-4</v>
          </cell>
          <cell r="E611">
            <v>7.1596698144021128E-4</v>
          </cell>
          <cell r="F611">
            <v>1.3589665126686149E-3</v>
          </cell>
          <cell r="G611">
            <v>0.17191528668396383</v>
          </cell>
          <cell r="H611">
            <v>0.17018414523405756</v>
          </cell>
          <cell r="I611">
            <v>0.15097133606403851</v>
          </cell>
        </row>
        <row r="612">
          <cell r="A612" t="str">
            <v>D-T-ELC-Bus_c_S2</v>
          </cell>
          <cell r="B612" t="str">
            <v>VAR_ncap</v>
          </cell>
          <cell r="C612" t="str">
            <v>-</v>
          </cell>
          <cell r="D612">
            <v>7.4363767496290594E-5</v>
          </cell>
          <cell r="E612">
            <v>1.9690589531211299E-5</v>
          </cell>
          <cell r="F612">
            <v>7.2344381167487097E-5</v>
          </cell>
          <cell r="G612">
            <v>2.1301408333716101E-2</v>
          </cell>
          <cell r="H612">
            <v>1.6447266190532901E-2</v>
          </cell>
          <cell r="I612">
            <v>1.05981673048908E-2</v>
          </cell>
        </row>
        <row r="613">
          <cell r="A613" t="str">
            <v>D-T-ELC-Bus_c_S2</v>
          </cell>
          <cell r="B613" t="str">
            <v>VAR_cap</v>
          </cell>
          <cell r="C613" t="str">
            <v>-</v>
          </cell>
          <cell r="D613">
            <v>7.4363767496290594E-5</v>
          </cell>
          <cell r="E613">
            <v>9.40543570275019E-5</v>
          </cell>
          <cell r="F613">
            <v>1.66398738194989E-4</v>
          </cell>
          <cell r="G613">
            <v>2.1445246118752901E-2</v>
          </cell>
          <cell r="H613">
            <v>2.0856881668191499E-2</v>
          </cell>
          <cell r="I613">
            <v>1.89582864911765E-2</v>
          </cell>
        </row>
        <row r="614">
          <cell r="A614" t="str">
            <v>T_C-HY-DSL-S4</v>
          </cell>
          <cell r="B614" t="str">
            <v>VAR_fout</v>
          </cell>
          <cell r="C614" t="str">
            <v>CO2_T</v>
          </cell>
          <cell r="D614">
            <v>2.576632162785061</v>
          </cell>
          <cell r="E614">
            <v>5.408148299424413</v>
          </cell>
          <cell r="F614">
            <v>5.1714873073205405</v>
          </cell>
          <cell r="G614">
            <v>4.3711919710531841</v>
          </cell>
          <cell r="H614">
            <v>0.11010568738826784</v>
          </cell>
          <cell r="I614">
            <v>1.0515563809517629E-2</v>
          </cell>
        </row>
        <row r="615">
          <cell r="A615" t="str">
            <v>T_C-HY-DSL-S4</v>
          </cell>
          <cell r="B615" t="str">
            <v>VAR_fout</v>
          </cell>
          <cell r="C615" t="str">
            <v>TPCAR</v>
          </cell>
          <cell r="D615">
            <v>4.7269925427160527E-2</v>
          </cell>
          <cell r="E615">
            <v>0.11669809491930057</v>
          </cell>
          <cell r="F615">
            <v>0.11197212892136188</v>
          </cell>
          <cell r="G615">
            <v>9.5015015377521522E-2</v>
          </cell>
          <cell r="H615">
            <v>1.0565652390532084E-3</v>
          </cell>
          <cell r="I615">
            <v>9.9936189455347203E-5</v>
          </cell>
        </row>
        <row r="616">
          <cell r="A616" t="str">
            <v>T_C-HY-DSL-S4</v>
          </cell>
          <cell r="B616" t="str">
            <v>VAR_fin</v>
          </cell>
          <cell r="C616" t="str">
            <v>TDSL</v>
          </cell>
          <cell r="D616">
            <v>3.5151871252183609E-2</v>
          </cell>
          <cell r="E616">
            <v>7.3781013634712289E-2</v>
          </cell>
          <cell r="F616">
            <v>7.0552350713786419E-2</v>
          </cell>
          <cell r="G616">
            <v>5.9634269727874327E-2</v>
          </cell>
          <cell r="H616">
            <v>1.5021239752833263E-3</v>
          </cell>
          <cell r="I616">
            <v>1.4345926070283256E-4</v>
          </cell>
        </row>
        <row r="617">
          <cell r="A617" t="str">
            <v>T_C-HY-DSL-S4</v>
          </cell>
          <cell r="B617" t="str">
            <v>VAR_ncap</v>
          </cell>
          <cell r="C617" t="str">
            <v>-</v>
          </cell>
          <cell r="E617">
            <v>4.3480745867860101E-4</v>
          </cell>
          <cell r="F617">
            <v>1.03271697807003E-4</v>
          </cell>
          <cell r="G617">
            <v>9.9867251380626694E-5</v>
          </cell>
          <cell r="H617">
            <v>1.24447692761506E-5</v>
          </cell>
        </row>
        <row r="618">
          <cell r="A618" t="str">
            <v>T_C-HY-DSL-S4</v>
          </cell>
          <cell r="B618" t="str">
            <v>VAR_cap</v>
          </cell>
          <cell r="C618" t="str">
            <v>-</v>
          </cell>
          <cell r="D618">
            <v>3.7727373532204034E-3</v>
          </cell>
          <cell r="E618">
            <v>9.1987858565118433E-3</v>
          </cell>
          <cell r="F618">
            <v>8.867996723591379E-3</v>
          </cell>
          <cell r="G618">
            <v>7.5166199416286765E-3</v>
          </cell>
          <cell r="H618">
            <v>1.0543202208909524E-4</v>
          </cell>
          <cell r="I618">
            <v>1.072487146275113E-5</v>
          </cell>
        </row>
        <row r="619">
          <cell r="A619" t="str">
            <v>D-T-ELC-Bus_c_S3</v>
          </cell>
          <cell r="B619" t="str">
            <v>VAR_fout</v>
          </cell>
          <cell r="C619" t="str">
            <v>T-ELC-Bus_c_BatSTGin_S3</v>
          </cell>
          <cell r="D619">
            <v>3.7669714478180753E-4</v>
          </cell>
          <cell r="E619">
            <v>5.8812533179152676E-4</v>
          </cell>
          <cell r="F619">
            <v>8.7144749259033996E-4</v>
          </cell>
          <cell r="G619">
            <v>1.6383844277704806E-3</v>
          </cell>
          <cell r="H619">
            <v>5.5027878247023258E-2</v>
          </cell>
          <cell r="I619">
            <v>4.8148709580241728E-2</v>
          </cell>
        </row>
        <row r="620">
          <cell r="A620" t="str">
            <v>D-T-ELC-Bus_c_S3</v>
          </cell>
          <cell r="B620" t="str">
            <v>VAR_fin</v>
          </cell>
          <cell r="C620" t="str">
            <v>TELC</v>
          </cell>
          <cell r="D620">
            <v>3.7669714478180753E-4</v>
          </cell>
          <cell r="E620">
            <v>5.8812533179152676E-4</v>
          </cell>
          <cell r="F620">
            <v>8.7144749259033996E-4</v>
          </cell>
          <cell r="G620">
            <v>1.6383844277704806E-3</v>
          </cell>
          <cell r="H620">
            <v>5.5027878247023258E-2</v>
          </cell>
          <cell r="I620">
            <v>4.8148709580241728E-2</v>
          </cell>
        </row>
        <row r="621">
          <cell r="A621" t="str">
            <v>D-T-ELC-Bus_c_S3</v>
          </cell>
          <cell r="B621" t="str">
            <v>VAR_ncap</v>
          </cell>
          <cell r="C621" t="str">
            <v>-</v>
          </cell>
          <cell r="D621">
            <v>4.8135070635894302E-5</v>
          </cell>
          <cell r="E621">
            <v>2.1188020416025801E-5</v>
          </cell>
          <cell r="F621">
            <v>3.7828713621414603E-5</v>
          </cell>
          <cell r="G621">
            <v>1.18958163103665E-4</v>
          </cell>
          <cell r="H621">
            <v>4.6336385544345398E-3</v>
          </cell>
          <cell r="I621">
            <v>4.4193292380280101E-3</v>
          </cell>
        </row>
        <row r="622">
          <cell r="A622" t="str">
            <v>D-T-ELC-Bus_c_S3</v>
          </cell>
          <cell r="B622" t="str">
            <v>VAR_cap</v>
          </cell>
          <cell r="C622" t="str">
            <v>-</v>
          </cell>
          <cell r="D622">
            <v>4.8135070635894302E-5</v>
          </cell>
          <cell r="E622">
            <v>6.9323091051920005E-5</v>
          </cell>
          <cell r="F622">
            <v>1.0715180467333499E-4</v>
          </cell>
          <cell r="G622">
            <v>1.90992314121721E-4</v>
          </cell>
          <cell r="H622">
            <v>6.6616317886555101E-3</v>
          </cell>
          <cell r="I622">
            <v>6.0064488926555798E-3</v>
          </cell>
        </row>
        <row r="623">
          <cell r="A623" t="str">
            <v>D-T-ELC-Bus_c_S4</v>
          </cell>
          <cell r="B623" t="str">
            <v>VAR_fout</v>
          </cell>
          <cell r="C623" t="str">
            <v>T-ELC-Bus_c_BatSTGin_S4</v>
          </cell>
          <cell r="D623">
            <v>1.7644846154373662E-5</v>
          </cell>
          <cell r="E623">
            <v>1.4721735999726409E-4</v>
          </cell>
          <cell r="F623">
            <v>2.7244933187436276E-4</v>
          </cell>
          <cell r="G623">
            <v>5.7036698068037501E-4</v>
          </cell>
          <cell r="H623">
            <v>9.3550565835906149E-4</v>
          </cell>
          <cell r="I623">
            <v>4.6217472314639859E-4</v>
          </cell>
        </row>
        <row r="624">
          <cell r="A624" t="str">
            <v>D-T-ELC-Bus_c_S4</v>
          </cell>
          <cell r="B624" t="str">
            <v>VAR_fin</v>
          </cell>
          <cell r="C624" t="str">
            <v>TELC</v>
          </cell>
          <cell r="D624">
            <v>1.7644846154373662E-5</v>
          </cell>
          <cell r="E624">
            <v>1.4721735999726409E-4</v>
          </cell>
          <cell r="F624">
            <v>2.7244933187436276E-4</v>
          </cell>
          <cell r="G624">
            <v>5.7036698068037501E-4</v>
          </cell>
          <cell r="H624">
            <v>9.3550565835906149E-4</v>
          </cell>
          <cell r="I624">
            <v>4.6217472314639859E-4</v>
          </cell>
        </row>
        <row r="625">
          <cell r="A625" t="str">
            <v>D-T-ELC-Bus_c_S4</v>
          </cell>
          <cell r="B625" t="str">
            <v>VAR_ncap</v>
          </cell>
          <cell r="C625" t="str">
            <v>-</v>
          </cell>
          <cell r="D625">
            <v>1.23733621885951E-5</v>
          </cell>
          <cell r="E625">
            <v>1.12785309175194E-5</v>
          </cell>
          <cell r="F625">
            <v>1.9333721835501602E-5</v>
          </cell>
          <cell r="G625">
            <v>4.9637392112371597E-5</v>
          </cell>
          <cell r="H625">
            <v>1.3560119937764201E-4</v>
          </cell>
          <cell r="I625">
            <v>6.9036981988214804E-5</v>
          </cell>
        </row>
        <row r="626">
          <cell r="A626" t="str">
            <v>D-T-ELC-Bus_c_S4</v>
          </cell>
          <cell r="B626" t="str">
            <v>VAR_cap</v>
          </cell>
          <cell r="C626" t="str">
            <v>-</v>
          </cell>
          <cell r="D626">
            <v>1.23733621885951E-5</v>
          </cell>
          <cell r="E626">
            <v>2.3651893106114499E-5</v>
          </cell>
          <cell r="F626">
            <v>4.2985614941616199E-5</v>
          </cell>
          <cell r="G626">
            <v>6.9108747649423603E-5</v>
          </cell>
          <cell r="H626">
            <v>2.1172746137395799E-4</v>
          </cell>
          <cell r="I626">
            <v>9.2833451550821498E-5</v>
          </cell>
        </row>
        <row r="627">
          <cell r="A627" t="str">
            <v>D-TH2O</v>
          </cell>
          <cell r="B627" t="str">
            <v>VAR_fout</v>
          </cell>
          <cell r="C627" t="str">
            <v>TH2Ointl</v>
          </cell>
          <cell r="H627">
            <v>8.6184362276478995E-6</v>
          </cell>
          <cell r="I627">
            <v>6.8680291518987203E-6</v>
          </cell>
        </row>
        <row r="628">
          <cell r="A628" t="str">
            <v>D-TH2O</v>
          </cell>
          <cell r="B628" t="str">
            <v>VAR_fout</v>
          </cell>
          <cell r="C628" t="str">
            <v>TH2O</v>
          </cell>
          <cell r="D628">
            <v>3.7097584070791318E-3</v>
          </cell>
          <cell r="E628">
            <v>4.1648930210069083E-3</v>
          </cell>
          <cell r="F628">
            <v>4.120929865684581E-3</v>
          </cell>
          <cell r="H628">
            <v>9.6828332220338161E-4</v>
          </cell>
          <cell r="I628">
            <v>1.0964145689215802E-3</v>
          </cell>
        </row>
        <row r="629">
          <cell r="A629" t="str">
            <v>D-TH2O</v>
          </cell>
          <cell r="B629" t="str">
            <v>VAR_fin</v>
          </cell>
          <cell r="C629" t="str">
            <v>H2</v>
          </cell>
          <cell r="D629">
            <v>3.7097584070791318E-3</v>
          </cell>
          <cell r="E629">
            <v>4.1648930210069083E-3</v>
          </cell>
          <cell r="F629">
            <v>4.120929865684581E-3</v>
          </cell>
          <cell r="H629">
            <v>9.7690175843103007E-4</v>
          </cell>
          <cell r="I629">
            <v>1.1032825980734787E-3</v>
          </cell>
        </row>
        <row r="630">
          <cell r="A630" t="str">
            <v>D-TH2O</v>
          </cell>
          <cell r="B630" t="str">
            <v>VAR_ncap</v>
          </cell>
          <cell r="C630" t="str">
            <v>-</v>
          </cell>
          <cell r="D630">
            <v>7.7554933492074798E-4</v>
          </cell>
          <cell r="E630">
            <v>3.0015981817064601E-6</v>
          </cell>
          <cell r="F630">
            <v>3.02767349593062E-7</v>
          </cell>
          <cell r="G630">
            <v>1.6006236831202799E-7</v>
          </cell>
          <cell r="H630">
            <v>1.15310600669903E-6</v>
          </cell>
          <cell r="I630">
            <v>1.0794429883218701E-6</v>
          </cell>
        </row>
        <row r="631">
          <cell r="A631" t="str">
            <v>D-TH2O</v>
          </cell>
          <cell r="B631" t="str">
            <v>VAR_cap</v>
          </cell>
          <cell r="C631" t="str">
            <v>-</v>
          </cell>
          <cell r="D631">
            <v>7.7554933492074798E-4</v>
          </cell>
          <cell r="E631">
            <v>7.7855093310245504E-4</v>
          </cell>
          <cell r="F631">
            <v>7.7885370045204796E-4</v>
          </cell>
          <cell r="G631">
            <v>7.7901376282036E-4</v>
          </cell>
          <cell r="H631">
            <v>7.8056091364321698E-4</v>
          </cell>
          <cell r="I631">
            <v>7.8164035663153897E-4</v>
          </cell>
        </row>
        <row r="632">
          <cell r="A632" t="str">
            <v>TFHGV-HYBDSL</v>
          </cell>
          <cell r="B632" t="str">
            <v>VAR_fout</v>
          </cell>
          <cell r="C632" t="str">
            <v>CO2_T</v>
          </cell>
          <cell r="E632">
            <v>82.347736823150399</v>
          </cell>
          <cell r="F632">
            <v>305.93861804883761</v>
          </cell>
          <cell r="G632">
            <v>817.38142560870517</v>
          </cell>
          <cell r="H632">
            <v>233.16303947151337</v>
          </cell>
          <cell r="I632">
            <v>20.014208875963558</v>
          </cell>
        </row>
        <row r="633">
          <cell r="A633" t="str">
            <v>TFHGV-HYBDSL</v>
          </cell>
          <cell r="B633" t="str">
            <v>VAR_fout</v>
          </cell>
          <cell r="C633" t="str">
            <v>TFHGV</v>
          </cell>
          <cell r="E633">
            <v>0.18364427443073231</v>
          </cell>
          <cell r="F633">
            <v>0.68227589123159449</v>
          </cell>
          <cell r="G633">
            <v>1.8228481392444114</v>
          </cell>
          <cell r="H633">
            <v>0.51997855508486246</v>
          </cell>
          <cell r="I633">
            <v>4.4633829770269452E-2</v>
          </cell>
        </row>
        <row r="634">
          <cell r="A634" t="str">
            <v>TFHGV-HYBDSL</v>
          </cell>
          <cell r="B634" t="str">
            <v>VAR_fin</v>
          </cell>
          <cell r="C634" t="str">
            <v>TDSL</v>
          </cell>
          <cell r="E634">
            <v>1.123434335922926</v>
          </cell>
          <cell r="F634">
            <v>4.1737874222215208</v>
          </cell>
          <cell r="G634">
            <v>11.151179066967318</v>
          </cell>
          <cell r="H634">
            <v>3.180941875464026</v>
          </cell>
          <cell r="I634">
            <v>0.27304514155475468</v>
          </cell>
        </row>
        <row r="635">
          <cell r="A635" t="str">
            <v>TFHGV-HYBDSL</v>
          </cell>
          <cell r="B635" t="str">
            <v>VAR_ncap</v>
          </cell>
          <cell r="C635" t="str">
            <v>-</v>
          </cell>
          <cell r="E635">
            <v>3.4549089440583901E-3</v>
          </cell>
          <cell r="F635">
            <v>9.3820593904856992E-3</v>
          </cell>
          <cell r="G635">
            <v>2.6379951072757899E-2</v>
          </cell>
          <cell r="H635">
            <v>2.3707053128945699E-6</v>
          </cell>
          <cell r="I635">
            <v>1.1990705621142701E-3</v>
          </cell>
        </row>
        <row r="636">
          <cell r="A636" t="str">
            <v>TFHGV-HYBDSL</v>
          </cell>
          <cell r="B636" t="str">
            <v>VAR_cap</v>
          </cell>
          <cell r="C636" t="str">
            <v>-</v>
          </cell>
          <cell r="E636">
            <v>3.4549089440583901E-3</v>
          </cell>
          <cell r="F636">
            <v>1.28369683345441E-2</v>
          </cell>
          <cell r="G636">
            <v>3.4293541964767901E-2</v>
          </cell>
          <cell r="H636">
            <v>1.1672844211174956E-2</v>
          </cell>
          <cell r="I636">
            <v>1.1994832424529328E-3</v>
          </cell>
        </row>
        <row r="637">
          <cell r="A637" t="str">
            <v>D-TKER</v>
          </cell>
          <cell r="B637" t="str">
            <v>VAR_fout</v>
          </cell>
          <cell r="C637" t="str">
            <v>CO2</v>
          </cell>
          <cell r="D637">
            <v>80.549753106399805</v>
          </cell>
          <cell r="E637">
            <v>102.29912271804599</v>
          </cell>
          <cell r="F637">
            <v>134.59505663455201</v>
          </cell>
          <cell r="G637">
            <v>142.82863938474</v>
          </cell>
          <cell r="H637">
            <v>25.358428698837301</v>
          </cell>
          <cell r="I637">
            <v>1.2513711649375E-5</v>
          </cell>
        </row>
        <row r="638">
          <cell r="A638" t="str">
            <v>D-TKER</v>
          </cell>
          <cell r="B638" t="str">
            <v>VAR_fout</v>
          </cell>
          <cell r="C638" t="str">
            <v>TKER</v>
          </cell>
          <cell r="D638">
            <v>1.0901921084998401</v>
          </cell>
          <cell r="E638">
            <v>1.38455664968152</v>
          </cell>
          <cell r="F638">
            <v>1.8216625492601199</v>
          </cell>
          <cell r="G638">
            <v>1.9330991035978899</v>
          </cell>
          <cell r="H638">
            <v>0.34321096943538398</v>
          </cell>
          <cell r="I638">
            <v>1.6936550593979699E-7</v>
          </cell>
        </row>
        <row r="639">
          <cell r="A639" t="str">
            <v>D-TKER</v>
          </cell>
          <cell r="B639" t="str">
            <v>VAR_fin</v>
          </cell>
          <cell r="C639" t="str">
            <v>KER</v>
          </cell>
          <cell r="D639">
            <v>1.1064526525604343</v>
          </cell>
          <cell r="E639">
            <v>1.4052077296434966</v>
          </cell>
          <cell r="F639">
            <v>1.848833195529562</v>
          </cell>
          <cell r="G639">
            <v>1.9619318596804993</v>
          </cell>
          <cell r="H639">
            <v>0.34833006454446785</v>
          </cell>
          <cell r="I639">
            <v>1.7189164353537114E-7</v>
          </cell>
        </row>
        <row r="640">
          <cell r="A640" t="str">
            <v>T_B_u-BEVELC-S1</v>
          </cell>
          <cell r="B640" t="str">
            <v>VAR_fout</v>
          </cell>
          <cell r="C640" t="str">
            <v>TPBSu</v>
          </cell>
          <cell r="D640">
            <v>9.3036858239251804E-8</v>
          </cell>
          <cell r="E640">
            <v>4.4728522508461551E-4</v>
          </cell>
          <cell r="F640">
            <v>1.2643626987429394E-3</v>
          </cell>
          <cell r="G640">
            <v>0.10970829526648146</v>
          </cell>
          <cell r="H640">
            <v>0.10090496516057548</v>
          </cell>
          <cell r="I640">
            <v>0.10252378152805623</v>
          </cell>
        </row>
        <row r="641">
          <cell r="A641" t="str">
            <v>T_B_u-BEVELC-S1</v>
          </cell>
          <cell r="B641" t="str">
            <v>VAR_fin</v>
          </cell>
          <cell r="C641" t="str">
            <v>T-ELC-Bus_u_BatSTGout_S1</v>
          </cell>
          <cell r="D641">
            <v>2.4567870259649539E-7</v>
          </cell>
          <cell r="E641">
            <v>1.1398103324427233E-3</v>
          </cell>
          <cell r="F641">
            <v>3.1182141112885537E-3</v>
          </cell>
          <cell r="G641">
            <v>0.24532442058738999</v>
          </cell>
          <cell r="H641">
            <v>0.21313670838045456</v>
          </cell>
          <cell r="I641">
            <v>0.18910191781907881</v>
          </cell>
        </row>
        <row r="642">
          <cell r="A642" t="str">
            <v>T_B_u-BEVELC-S1</v>
          </cell>
          <cell r="B642" t="str">
            <v>VAR_ncap</v>
          </cell>
          <cell r="C642" t="str">
            <v>-</v>
          </cell>
          <cell r="E642">
            <v>8.8739361098007302E-6</v>
          </cell>
          <cell r="F642">
            <v>1.5903786733756101E-5</v>
          </cell>
          <cell r="G642">
            <v>2.5406452867755801E-3</v>
          </cell>
          <cell r="H642">
            <v>1.9905834884089801E-4</v>
          </cell>
          <cell r="I642">
            <v>2.4843236387325899E-3</v>
          </cell>
        </row>
        <row r="643">
          <cell r="A643" t="str">
            <v>T_B_u-BEVELC-S1</v>
          </cell>
          <cell r="B643" t="str">
            <v>VAR_cap</v>
          </cell>
          <cell r="C643" t="str">
            <v>-</v>
          </cell>
          <cell r="D643">
            <v>3.02390998593531E-8</v>
          </cell>
          <cell r="E643">
            <v>8.9154269677472841E-6</v>
          </cell>
          <cell r="F643">
            <v>2.4756245524027902E-5</v>
          </cell>
          <cell r="G643">
            <v>2.5496993115370859E-3</v>
          </cell>
          <cell r="H643">
            <v>2.1880723165569622E-3</v>
          </cell>
          <cell r="I643">
            <v>2.4922779619183529E-3</v>
          </cell>
        </row>
        <row r="644">
          <cell r="A644" t="str">
            <v>TPSHPH2OEXT</v>
          </cell>
          <cell r="B644" t="str">
            <v>VAR_fout</v>
          </cell>
          <cell r="C644" t="str">
            <v>TPSHP</v>
          </cell>
          <cell r="H644">
            <v>8.3242472882988505E-5</v>
          </cell>
          <cell r="I644">
            <v>9.5189217176515405E-5</v>
          </cell>
        </row>
        <row r="645">
          <cell r="A645" t="str">
            <v>TPSHPH2OEXT</v>
          </cell>
          <cell r="B645" t="str">
            <v>VAR_fin</v>
          </cell>
          <cell r="C645" t="str">
            <v>TH2O</v>
          </cell>
          <cell r="H645">
            <v>4.6413984880211786E-5</v>
          </cell>
          <cell r="I645">
            <v>5.307519988023874E-5</v>
          </cell>
        </row>
        <row r="646">
          <cell r="A646" t="str">
            <v>TPSHPH2OEXT</v>
          </cell>
          <cell r="B646" t="str">
            <v>VAR_ncap</v>
          </cell>
          <cell r="C646" t="str">
            <v>-</v>
          </cell>
          <cell r="H646">
            <v>3.2778356654511601E-6</v>
          </cell>
          <cell r="I646">
            <v>2.2789622751709801E-6</v>
          </cell>
        </row>
        <row r="647">
          <cell r="A647" t="str">
            <v>TPSHPH2OEXT</v>
          </cell>
          <cell r="B647" t="str">
            <v>VAR_cap</v>
          </cell>
          <cell r="C647" t="str">
            <v>-</v>
          </cell>
          <cell r="H647">
            <v>2.5782423605414697E-6</v>
          </cell>
          <cell r="I647">
            <v>7.8561511754635005E-7</v>
          </cell>
        </row>
        <row r="648">
          <cell r="A648" t="str">
            <v>T_B_u-BEVELC-S2</v>
          </cell>
          <cell r="B648" t="str">
            <v>VAR_fout</v>
          </cell>
          <cell r="C648" t="str">
            <v>TPBSu</v>
          </cell>
          <cell r="D648">
            <v>3.6810419815104463E-4</v>
          </cell>
          <cell r="E648">
            <v>5.5431315890486048E-4</v>
          </cell>
          <cell r="F648">
            <v>1.180449688828068E-3</v>
          </cell>
          <cell r="G648">
            <v>3.9554304090850777E-2</v>
          </cell>
          <cell r="H648">
            <v>4.3014147937493023E-2</v>
          </cell>
          <cell r="I648">
            <v>4.6133948996151627E-2</v>
          </cell>
        </row>
        <row r="649">
          <cell r="A649" t="str">
            <v>T_B_u-BEVELC-S2</v>
          </cell>
          <cell r="B649" t="str">
            <v>VAR_fin</v>
          </cell>
          <cell r="C649" t="str">
            <v>T-ELC-Bus_u_BatSTGout_S2</v>
          </cell>
          <cell r="D649">
            <v>1.3376817179023791E-3</v>
          </cell>
          <cell r="E649">
            <v>1.9894345316938981E-3</v>
          </cell>
          <cell r="F649">
            <v>4.0888140611121046E-3</v>
          </cell>
          <cell r="G649">
            <v>0.12226035834011653</v>
          </cell>
          <cell r="H649">
            <v>0.12523353205648088</v>
          </cell>
          <cell r="I649">
            <v>0.11781569072441896</v>
          </cell>
        </row>
        <row r="650">
          <cell r="A650" t="str">
            <v>T_B_u-BEVELC-S2</v>
          </cell>
          <cell r="B650" t="str">
            <v>VAR_ncap</v>
          </cell>
          <cell r="C650" t="str">
            <v>-</v>
          </cell>
          <cell r="E650">
            <v>2.6468653721574598E-6</v>
          </cell>
          <cell r="F650">
            <v>1.1204935627702801E-5</v>
          </cell>
          <cell r="G650">
            <v>7.2882634248994896E-4</v>
          </cell>
          <cell r="H650">
            <v>1.07448460907934E-4</v>
          </cell>
          <cell r="I650">
            <v>8.5171840510738102E-4</v>
          </cell>
        </row>
        <row r="651">
          <cell r="A651" t="str">
            <v>T_B_u-BEVELC-S2</v>
          </cell>
          <cell r="B651" t="str">
            <v>VAR_cap</v>
          </cell>
          <cell r="C651" t="str">
            <v>-</v>
          </cell>
          <cell r="D651">
            <v>6.8888832988157304E-6</v>
          </cell>
          <cell r="E651">
            <v>1.111966551930825E-5</v>
          </cell>
          <cell r="F651">
            <v>2.2414586665569923E-5</v>
          </cell>
          <cell r="G651">
            <v>7.4637857087816691E-4</v>
          </cell>
          <cell r="H651">
            <v>8.1199036306135492E-4</v>
          </cell>
          <cell r="I651">
            <v>8.7185218071604001E-4</v>
          </cell>
        </row>
        <row r="652">
          <cell r="A652" t="str">
            <v>TFHGV-ICEDSL</v>
          </cell>
          <cell r="B652" t="str">
            <v>VAR_fout</v>
          </cell>
          <cell r="C652" t="str">
            <v>CO2_T</v>
          </cell>
          <cell r="D652">
            <v>386.54219450000431</v>
          </cell>
          <cell r="E652">
            <v>452.63501849004615</v>
          </cell>
          <cell r="F652">
            <v>352.74968185436001</v>
          </cell>
          <cell r="G652">
            <v>32.764101928979422</v>
          </cell>
          <cell r="H652">
            <v>2.0118996257175021E-2</v>
          </cell>
          <cell r="I652">
            <v>2.0836766374911402E-3</v>
          </cell>
        </row>
        <row r="653">
          <cell r="A653" t="str">
            <v>TFHGV-ICEDSL</v>
          </cell>
          <cell r="B653" t="str">
            <v>VAR_fout</v>
          </cell>
          <cell r="C653" t="str">
            <v>TFHGV</v>
          </cell>
          <cell r="D653">
            <v>0.6259743133384631</v>
          </cell>
          <cell r="E653">
            <v>0.7330063804774245</v>
          </cell>
          <cell r="F653">
            <v>0.57125002915856826</v>
          </cell>
          <cell r="G653">
            <v>5.3058854890792866E-2</v>
          </cell>
          <cell r="H653">
            <v>3.2581112867728793E-5</v>
          </cell>
          <cell r="I653">
            <v>3.3743484435381625E-6</v>
          </cell>
        </row>
        <row r="654">
          <cell r="A654" t="str">
            <v>TFHGV-ICEDSL</v>
          </cell>
          <cell r="B654" t="str">
            <v>VAR_fin</v>
          </cell>
          <cell r="C654" t="str">
            <v>TDSL</v>
          </cell>
          <cell r="D654">
            <v>5.2734269372442695</v>
          </cell>
          <cell r="E654">
            <v>6.1751025714876739</v>
          </cell>
          <cell r="F654">
            <v>4.8124103936474869</v>
          </cell>
          <cell r="G654">
            <v>0.44698638375142552</v>
          </cell>
          <cell r="H654">
            <v>2.7447471019338346E-4</v>
          </cell>
          <cell r="I654">
            <v>2.842669355376733E-5</v>
          </cell>
        </row>
        <row r="655">
          <cell r="A655" t="str">
            <v>TFHGV-ICEDSL</v>
          </cell>
          <cell r="B655" t="str">
            <v>VAR_ncap</v>
          </cell>
          <cell r="C655" t="str">
            <v>-</v>
          </cell>
          <cell r="E655">
            <v>3.7377281039927499E-6</v>
          </cell>
          <cell r="F655">
            <v>1.0860832704504801E-5</v>
          </cell>
          <cell r="G655">
            <v>1.1984717273952401E-5</v>
          </cell>
          <cell r="H655">
            <v>2.79497323566376E-7</v>
          </cell>
          <cell r="I655">
            <v>4.8263020162760299E-8</v>
          </cell>
        </row>
        <row r="656">
          <cell r="A656" t="str">
            <v>TFHGV-ICEDSL</v>
          </cell>
          <cell r="B656" t="str">
            <v>VAR_cap</v>
          </cell>
          <cell r="C656" t="str">
            <v>-</v>
          </cell>
          <cell r="D656">
            <v>1.1788558695102362E-2</v>
          </cell>
          <cell r="E656">
            <v>1.3791045761102317E-2</v>
          </cell>
          <cell r="F656">
            <v>1.0754879284504845E-2</v>
          </cell>
          <cell r="G656">
            <v>1.0009332489011112E-3</v>
          </cell>
          <cell r="H656">
            <v>7.1394731958181028E-7</v>
          </cell>
          <cell r="I656">
            <v>9.3893895761977826E-8</v>
          </cell>
        </row>
        <row r="657">
          <cell r="A657" t="str">
            <v>D-T-ELC-Bus_u_S1</v>
          </cell>
          <cell r="B657" t="str">
            <v>VAR_fout</v>
          </cell>
          <cell r="C657" t="str">
            <v>T-ELC-Bus_u_BatSTGin_S1</v>
          </cell>
          <cell r="D657">
            <v>2.1068342610239416E-5</v>
          </cell>
          <cell r="E657">
            <v>1.1703814618287442E-3</v>
          </cell>
          <cell r="F657">
            <v>3.1427695160643346E-3</v>
          </cell>
          <cell r="G657">
            <v>0.24563159885700886</v>
          </cell>
          <cell r="H657">
            <v>0.21353298345723079</v>
          </cell>
          <cell r="I657">
            <v>0.18940601195711718</v>
          </cell>
        </row>
        <row r="658">
          <cell r="A658" t="str">
            <v>D-T-ELC-Bus_u_S1</v>
          </cell>
          <cell r="B658" t="str">
            <v>VAR_fin</v>
          </cell>
          <cell r="C658" t="str">
            <v>TELC</v>
          </cell>
          <cell r="D658">
            <v>2.1068342610239416E-5</v>
          </cell>
          <cell r="E658">
            <v>1.1703814618287442E-3</v>
          </cell>
          <cell r="F658">
            <v>3.1427695160643346E-3</v>
          </cell>
          <cell r="G658">
            <v>0.24563159885700886</v>
          </cell>
          <cell r="H658">
            <v>0.21353298345723079</v>
          </cell>
          <cell r="I658">
            <v>0.18940601195711718</v>
          </cell>
        </row>
        <row r="659">
          <cell r="A659" t="str">
            <v>D-T-ELC-Bus_u_S1</v>
          </cell>
          <cell r="B659" t="str">
            <v>VAR_ncap</v>
          </cell>
          <cell r="C659" t="str">
            <v>-</v>
          </cell>
          <cell r="D659">
            <v>3.5186980052425402E-4</v>
          </cell>
          <cell r="E659">
            <v>3.6949466606130301E-4</v>
          </cell>
          <cell r="F659">
            <v>8.7841331897862496E-4</v>
          </cell>
          <cell r="G659">
            <v>2.4519530770316701E-2</v>
          </cell>
          <cell r="H659">
            <v>1.7627692488469501E-2</v>
          </cell>
          <cell r="I659">
            <v>1.1075302560807999E-2</v>
          </cell>
        </row>
        <row r="660">
          <cell r="A660" t="str">
            <v>D-T-ELC-Bus_u_S1</v>
          </cell>
          <cell r="B660" t="str">
            <v>VAR_cap</v>
          </cell>
          <cell r="C660" t="str">
            <v>-</v>
          </cell>
          <cell r="D660">
            <v>3.5186980052425402E-4</v>
          </cell>
          <cell r="E660">
            <v>7.2136446658555703E-4</v>
          </cell>
          <cell r="F660">
            <v>1.59977778556418E-3</v>
          </cell>
          <cell r="G660">
            <v>2.5975944392797701E-2</v>
          </cell>
          <cell r="H660">
            <v>2.2575462464944501E-2</v>
          </cell>
          <cell r="I660">
            <v>2.0021823250172901E-2</v>
          </cell>
        </row>
        <row r="661">
          <cell r="A661" t="str">
            <v>T-Plg-DSL-mix_S1</v>
          </cell>
          <cell r="B661" t="str">
            <v>VAR_fout</v>
          </cell>
          <cell r="C661" t="str">
            <v>CO2_T</v>
          </cell>
          <cell r="D661">
            <v>1.35363690503027E-3</v>
          </cell>
          <cell r="E661">
            <v>8.8130518923333095E-2</v>
          </cell>
          <cell r="F661">
            <v>0.173815941854916</v>
          </cell>
          <cell r="G661">
            <v>0.18405585146941372</v>
          </cell>
          <cell r="H661">
            <v>9.8055740217231555E-2</v>
          </cell>
          <cell r="I661">
            <v>2.416446954594248E-2</v>
          </cell>
        </row>
        <row r="662">
          <cell r="A662" t="str">
            <v>T-Plg-DSL-mix_S1</v>
          </cell>
          <cell r="B662" t="str">
            <v>VAR_fout</v>
          </cell>
          <cell r="C662" t="str">
            <v>T-PEVmix-ELC_DSL_S1</v>
          </cell>
          <cell r="D662">
            <v>1.3451525671265223E-5</v>
          </cell>
          <cell r="E662">
            <v>8.7578133642317855E-4</v>
          </cell>
          <cell r="F662">
            <v>1.727264966881402E-3</v>
          </cell>
          <cell r="G662">
            <v>1.8290222450251827E-3</v>
          </cell>
          <cell r="H662">
            <v>1.0627063183740425E-3</v>
          </cell>
          <cell r="I662">
            <v>2.9110314048104408E-4</v>
          </cell>
        </row>
        <row r="663">
          <cell r="A663" t="str">
            <v>T-Plg-DSL-mix_S1</v>
          </cell>
          <cell r="B663" t="str">
            <v>VAR_fin</v>
          </cell>
          <cell r="C663" t="str">
            <v>TDSL</v>
          </cell>
          <cell r="D663">
            <v>1.8467079195501581E-5</v>
          </cell>
          <cell r="E663">
            <v>1.2023263154615712E-3</v>
          </cell>
          <cell r="F663">
            <v>2.3712952504081285E-3</v>
          </cell>
          <cell r="G663">
            <v>2.5109938808924111E-3</v>
          </cell>
          <cell r="H663">
            <v>1.337731790139584E-3</v>
          </cell>
          <cell r="I663">
            <v>3.2966534169089328E-4</v>
          </cell>
        </row>
        <row r="664">
          <cell r="A664" t="str">
            <v>T_B_u-BEVELC-S3</v>
          </cell>
          <cell r="B664" t="str">
            <v>VAR_fout</v>
          </cell>
          <cell r="C664" t="str">
            <v>TPBSu</v>
          </cell>
          <cell r="D664">
            <v>7.5723216910425538E-4</v>
          </cell>
          <cell r="E664">
            <v>7.8591579983568573E-4</v>
          </cell>
          <cell r="F664">
            <v>1.262935116177105E-3</v>
          </cell>
          <cell r="G664">
            <v>0.15671292030498157</v>
          </cell>
          <cell r="H664">
            <v>0.1884574019957253</v>
          </cell>
          <cell r="I664">
            <v>0.20168298177478439</v>
          </cell>
        </row>
        <row r="665">
          <cell r="A665" t="str">
            <v>T_B_u-BEVELC-S3</v>
          </cell>
          <cell r="B665" t="str">
            <v>VAR_fin</v>
          </cell>
          <cell r="C665" t="str">
            <v>T-ELC-Bus_u_BatSTGout_S3</v>
          </cell>
          <cell r="D665">
            <v>4.1385499489435896E-3</v>
          </cell>
          <cell r="E665">
            <v>4.2391368750466828E-3</v>
          </cell>
          <cell r="F665">
            <v>6.6630364426184079E-3</v>
          </cell>
          <cell r="G665">
            <v>0.72593600523819035</v>
          </cell>
          <cell r="H665">
            <v>0.8014900216072367</v>
          </cell>
          <cell r="I665">
            <v>0.78525022013936241</v>
          </cell>
        </row>
        <row r="666">
          <cell r="A666" t="str">
            <v>T_B_u-BEVELC-S3</v>
          </cell>
          <cell r="B666" t="str">
            <v>VAR_ncap</v>
          </cell>
          <cell r="C666" t="str">
            <v>-</v>
          </cell>
          <cell r="E666">
            <v>1.67880650171874E-6</v>
          </cell>
          <cell r="F666">
            <v>7.4591075451352399E-6</v>
          </cell>
          <cell r="G666">
            <v>2.9399935793764302E-3</v>
          </cell>
          <cell r="H666">
            <v>2.3774788869008901E-3</v>
          </cell>
          <cell r="I666">
            <v>2.9891950225589101E-3</v>
          </cell>
        </row>
        <row r="667">
          <cell r="A667" t="str">
            <v>T_B_u-BEVELC-S3</v>
          </cell>
          <cell r="B667" t="str">
            <v>VAR_cap</v>
          </cell>
          <cell r="C667" t="str">
            <v>-</v>
          </cell>
          <cell r="D667">
            <v>1.77341811049214E-5</v>
          </cell>
          <cell r="E667">
            <v>1.5862082666578842E-5</v>
          </cell>
          <cell r="F667">
            <v>2.3469658726361979E-5</v>
          </cell>
          <cell r="G667">
            <v>2.9551048150021028E-3</v>
          </cell>
          <cell r="H667">
            <v>3.5539532636553201E-3</v>
          </cell>
          <cell r="I667">
            <v>3.8035146240939688E-3</v>
          </cell>
        </row>
        <row r="668">
          <cell r="A668" t="str">
            <v>D-T-ELC-Bus_u_S2</v>
          </cell>
          <cell r="B668" t="str">
            <v>VAR_fout</v>
          </cell>
          <cell r="C668" t="str">
            <v>T-ELC-Bus_u_BatSTGin_S2</v>
          </cell>
          <cell r="D668">
            <v>1.2961878745065905E-3</v>
          </cell>
          <cell r="E668">
            <v>2.001898189514018E-3</v>
          </cell>
          <cell r="F668">
            <v>4.0795647131928415E-3</v>
          </cell>
          <cell r="G668">
            <v>0.12252118868519501</v>
          </cell>
          <cell r="H668">
            <v>0.12558984520789146</v>
          </cell>
          <cell r="I668">
            <v>0.11808286803634542</v>
          </cell>
        </row>
        <row r="669">
          <cell r="A669" t="str">
            <v>D-T-ELC-Bus_u_S2</v>
          </cell>
          <cell r="B669" t="str">
            <v>VAR_fin</v>
          </cell>
          <cell r="C669" t="str">
            <v>TELC</v>
          </cell>
          <cell r="D669">
            <v>1.2961878745065905E-3</v>
          </cell>
          <cell r="E669">
            <v>2.001898189514018E-3</v>
          </cell>
          <cell r="F669">
            <v>4.0795647131928415E-3</v>
          </cell>
          <cell r="G669">
            <v>0.12252118868519501</v>
          </cell>
          <cell r="H669">
            <v>0.12558984520789146</v>
          </cell>
          <cell r="I669">
            <v>0.11808286803634542</v>
          </cell>
        </row>
        <row r="670">
          <cell r="A670" t="str">
            <v>D-T-ELC-Bus_u_S2</v>
          </cell>
          <cell r="B670" t="str">
            <v>VAR_ncap</v>
          </cell>
          <cell r="C670" t="str">
            <v>-</v>
          </cell>
          <cell r="D670">
            <v>3.1475617912149099E-4</v>
          </cell>
          <cell r="E670">
            <v>2.9843197691813698E-4</v>
          </cell>
          <cell r="F670">
            <v>6.3365211380027504E-4</v>
          </cell>
          <cell r="G670">
            <v>1.1849001766586801E-2</v>
          </cell>
          <cell r="H670">
            <v>1.0445481420969301E-2</v>
          </cell>
          <cell r="I670">
            <v>7.1155838908864601E-3</v>
          </cell>
        </row>
        <row r="671">
          <cell r="A671" t="str">
            <v>D-T-ELC-Bus_u_S2</v>
          </cell>
          <cell r="B671" t="str">
            <v>VAR_cap</v>
          </cell>
          <cell r="C671" t="str">
            <v>-</v>
          </cell>
          <cell r="D671">
            <v>3.1475617912149099E-4</v>
          </cell>
          <cell r="E671">
            <v>6.1318815603962802E-4</v>
          </cell>
          <cell r="F671">
            <v>1.2468402698398999E-3</v>
          </cell>
          <cell r="G671">
            <v>1.29718510598142E-2</v>
          </cell>
          <cell r="H671">
            <v>1.32814311873223E-2</v>
          </cell>
          <cell r="I671">
            <v>1.2483423880411701E-2</v>
          </cell>
        </row>
        <row r="672">
          <cell r="A672" t="str">
            <v>T-Plg-DSL-mix_S2</v>
          </cell>
          <cell r="B672" t="str">
            <v>VAR_fout</v>
          </cell>
          <cell r="C672" t="str">
            <v>CO2_T</v>
          </cell>
          <cell r="D672">
            <v>1.6261252284671E-3</v>
          </cell>
          <cell r="E672">
            <v>0.1309291030017195</v>
          </cell>
          <cell r="F672">
            <v>0.35877164855266303</v>
          </cell>
          <cell r="G672">
            <v>0.4478130183023783</v>
          </cell>
          <cell r="H672">
            <v>0.3194499436454919</v>
          </cell>
          <cell r="I672">
            <v>5.0218993890652111E-2</v>
          </cell>
        </row>
        <row r="673">
          <cell r="A673" t="str">
            <v>T-Plg-DSL-mix_S2</v>
          </cell>
          <cell r="B673" t="str">
            <v>VAR_fout</v>
          </cell>
          <cell r="C673" t="str">
            <v>T-PEVmix-ELC_DSL_S2</v>
          </cell>
          <cell r="D673">
            <v>1.3211414658427873E-5</v>
          </cell>
          <cell r="E673">
            <v>1.0637302960008312E-3</v>
          </cell>
          <cell r="F673">
            <v>2.9148314863702875E-3</v>
          </cell>
          <cell r="G673">
            <v>3.6382459177587028E-3</v>
          </cell>
          <cell r="H673">
            <v>2.8732126451012762E-3</v>
          </cell>
          <cell r="I673">
            <v>5.0304834649858967E-4</v>
          </cell>
        </row>
        <row r="674">
          <cell r="A674" t="str">
            <v>T-Plg-DSL-mix_S2</v>
          </cell>
          <cell r="B674" t="str">
            <v>VAR_fin</v>
          </cell>
          <cell r="C674" t="str">
            <v>TDSL</v>
          </cell>
          <cell r="D674">
            <v>2.2184518805826783E-5</v>
          </cell>
          <cell r="E674">
            <v>1.7862087721926265E-3</v>
          </cell>
          <cell r="F674">
            <v>4.8945654645656611E-3</v>
          </cell>
          <cell r="G674">
            <v>6.1093181214512725E-3</v>
          </cell>
          <cell r="H674">
            <v>4.3581165572372784E-3</v>
          </cell>
          <cell r="I674">
            <v>6.851158784536446E-4</v>
          </cell>
        </row>
        <row r="675">
          <cell r="A675" t="str">
            <v>T_B_u-BEVELC-S4</v>
          </cell>
          <cell r="B675" t="str">
            <v>VAR_fout</v>
          </cell>
          <cell r="C675" t="str">
            <v>TPBSu</v>
          </cell>
          <cell r="D675">
            <v>5.0618605913337891E-5</v>
          </cell>
          <cell r="E675">
            <v>5.877959209150337E-5</v>
          </cell>
          <cell r="F675">
            <v>1.0473411033773965E-4</v>
          </cell>
          <cell r="G675">
            <v>5.1933222083528283E-5</v>
          </cell>
          <cell r="H675">
            <v>9.9329834330326209E-6</v>
          </cell>
          <cell r="I675">
            <v>6.1678427242860299E-8</v>
          </cell>
        </row>
        <row r="676">
          <cell r="A676" t="str">
            <v>T_B_u-BEVELC-S4</v>
          </cell>
          <cell r="B676" t="str">
            <v>VAR_fin</v>
          </cell>
          <cell r="C676" t="str">
            <v>T-ELC-Bus_u_BatSTGout_S4</v>
          </cell>
          <cell r="D676">
            <v>4.1495045979090037E-4</v>
          </cell>
          <cell r="E676">
            <v>4.7379539420841277E-4</v>
          </cell>
          <cell r="F676">
            <v>8.2464899564070702E-4</v>
          </cell>
          <cell r="G676">
            <v>3.799857188716348E-4</v>
          </cell>
          <cell r="H676">
            <v>6.3528895722755251E-5</v>
          </cell>
          <cell r="I676">
            <v>3.5149180496342572E-7</v>
          </cell>
        </row>
        <row r="677">
          <cell r="A677" t="str">
            <v>T_B_u-BEVELC-S4</v>
          </cell>
          <cell r="B677" t="str">
            <v>VAR_ncap</v>
          </cell>
          <cell r="C677" t="str">
            <v>-</v>
          </cell>
          <cell r="E677">
            <v>6.1746313265388604E-7</v>
          </cell>
          <cell r="F677">
            <v>5.8433344449567303E-7</v>
          </cell>
          <cell r="G677">
            <v>6.1401329843189504E-7</v>
          </cell>
          <cell r="H677">
            <v>8.7942869259211902E-7</v>
          </cell>
          <cell r="I677">
            <v>3.6818496057556699E-7</v>
          </cell>
        </row>
        <row r="678">
          <cell r="A678" t="str">
            <v>T_B_u-BEVELC-S4</v>
          </cell>
          <cell r="B678" t="str">
            <v>VAR_cap</v>
          </cell>
          <cell r="C678" t="str">
            <v>-</v>
          </cell>
          <cell r="D678">
            <v>4.2334739803094299E-7</v>
          </cell>
          <cell r="E678">
            <v>1.0717625025299209E-6</v>
          </cell>
          <cell r="F678">
            <v>1.586184908605024E-6</v>
          </cell>
          <cell r="G678">
            <v>9.5594521778065187E-7</v>
          </cell>
          <cell r="H678">
            <v>1.1053554920521649E-6</v>
          </cell>
          <cell r="I678">
            <v>4.9203620932966826E-7</v>
          </cell>
        </row>
        <row r="679">
          <cell r="A679" t="str">
            <v>D-TBDS1</v>
          </cell>
          <cell r="B679" t="str">
            <v>VAR_fout</v>
          </cell>
          <cell r="C679" t="str">
            <v>TDSL</v>
          </cell>
          <cell r="D679">
            <v>2.9737862406202415</v>
          </cell>
          <cell r="E679">
            <v>2.9709400790582903</v>
          </cell>
          <cell r="F679">
            <v>3.9768592266362237</v>
          </cell>
          <cell r="G679">
            <v>2.3806448760816941</v>
          </cell>
          <cell r="H679">
            <v>1.1993822718914484</v>
          </cell>
          <cell r="I679">
            <v>13.881298939437487</v>
          </cell>
        </row>
        <row r="680">
          <cell r="A680" t="str">
            <v>D-TBDS1</v>
          </cell>
          <cell r="B680" t="str">
            <v>VAR_fout</v>
          </cell>
          <cell r="C680" t="str">
            <v>TKER</v>
          </cell>
          <cell r="D680">
            <v>2.89731937818329E-3</v>
          </cell>
          <cell r="E680">
            <v>1.0952319368783001E-5</v>
          </cell>
          <cell r="F680">
            <v>1.3058470445650899E-4</v>
          </cell>
          <cell r="G680">
            <v>0.61740519860776</v>
          </cell>
          <cell r="H680">
            <v>1.7774434372211501</v>
          </cell>
          <cell r="I680">
            <v>1.69080487673038</v>
          </cell>
        </row>
        <row r="681">
          <cell r="A681" t="str">
            <v>D-TBDS1</v>
          </cell>
          <cell r="B681" t="str">
            <v>VAR_fin</v>
          </cell>
          <cell r="C681" t="str">
            <v>BDS</v>
          </cell>
          <cell r="D681">
            <v>3.021078927995593</v>
          </cell>
          <cell r="E681">
            <v>3.0152613862583197</v>
          </cell>
          <cell r="F681">
            <v>4.0363078136924386</v>
          </cell>
          <cell r="G681">
            <v>3.0427435773426139</v>
          </cell>
          <cell r="H681">
            <v>3.0211933880635029</v>
          </cell>
          <cell r="I681">
            <v>15.804336215942566</v>
          </cell>
        </row>
        <row r="682">
          <cell r="A682" t="str">
            <v>D-T-ELC-Bus_u_S3</v>
          </cell>
          <cell r="B682" t="str">
            <v>VAR_fout</v>
          </cell>
          <cell r="C682" t="str">
            <v>T-ELC-Bus_u_BatSTGin_S3</v>
          </cell>
          <cell r="D682">
            <v>3.9937209511318513E-3</v>
          </cell>
          <cell r="E682">
            <v>4.1983298460928232E-3</v>
          </cell>
          <cell r="F682">
            <v>6.5530331500795623E-3</v>
          </cell>
          <cell r="G682">
            <v>0.72606019827030244</v>
          </cell>
          <cell r="H682">
            <v>0.80170587367304502</v>
          </cell>
          <cell r="I682">
            <v>0.78544227043793891</v>
          </cell>
        </row>
        <row r="683">
          <cell r="A683" t="str">
            <v>D-T-ELC-Bus_u_S3</v>
          </cell>
          <cell r="B683" t="str">
            <v>VAR_fin</v>
          </cell>
          <cell r="C683" t="str">
            <v>TELC</v>
          </cell>
          <cell r="D683">
            <v>3.9937209511318513E-3</v>
          </cell>
          <cell r="E683">
            <v>4.1983298460928232E-3</v>
          </cell>
          <cell r="F683">
            <v>6.5530331500795623E-3</v>
          </cell>
          <cell r="G683">
            <v>0.72606019827030244</v>
          </cell>
          <cell r="H683">
            <v>0.80170587367304502</v>
          </cell>
          <cell r="I683">
            <v>0.78544227043793891</v>
          </cell>
        </row>
        <row r="684">
          <cell r="A684" t="str">
            <v>D-T-ELC-Bus_u_S3</v>
          </cell>
          <cell r="B684" t="str">
            <v>VAR_ncap</v>
          </cell>
          <cell r="C684" t="str">
            <v>-</v>
          </cell>
          <cell r="D684">
            <v>4.5338446205622302E-4</v>
          </cell>
          <cell r="E684">
            <v>2.7364580027793299E-4</v>
          </cell>
          <cell r="F684">
            <v>3.5369657846032101E-4</v>
          </cell>
          <cell r="G684">
            <v>7.6026308366691595E-2</v>
          </cell>
          <cell r="H684">
            <v>5.5552979317686803E-2</v>
          </cell>
          <cell r="I684">
            <v>6.3992837133777999E-2</v>
          </cell>
        </row>
        <row r="685">
          <cell r="A685" t="str">
            <v>D-T-ELC-Bus_u_S3</v>
          </cell>
          <cell r="B685" t="str">
            <v>VAR_cap</v>
          </cell>
          <cell r="C685" t="str">
            <v>-</v>
          </cell>
          <cell r="D685">
            <v>4.5338446205622302E-4</v>
          </cell>
          <cell r="E685">
            <v>7.2703026233415595E-4</v>
          </cell>
          <cell r="F685">
            <v>1.08072684079448E-3</v>
          </cell>
          <cell r="G685">
            <v>7.6746075533700206E-2</v>
          </cell>
          <cell r="H685">
            <v>8.4741065160540793E-2</v>
          </cell>
          <cell r="I685">
            <v>8.3020912870034796E-2</v>
          </cell>
        </row>
        <row r="686">
          <cell r="A686" t="str">
            <v>T-Plg-DSL-mix_S3</v>
          </cell>
          <cell r="B686" t="str">
            <v>VAR_fout</v>
          </cell>
          <cell r="C686" t="str">
            <v>CO2_T</v>
          </cell>
          <cell r="D686">
            <v>9.3082310028382402E-3</v>
          </cell>
          <cell r="E686">
            <v>1.3326915944534221</v>
          </cell>
          <cell r="F686">
            <v>104.08330747813378</v>
          </cell>
          <cell r="G686">
            <v>273.87768180545811</v>
          </cell>
          <cell r="H686">
            <v>254.73053927163352</v>
          </cell>
          <cell r="I686">
            <v>24.07169548189756</v>
          </cell>
        </row>
        <row r="687">
          <cell r="A687" t="str">
            <v>T-Plg-DSL-mix_S3</v>
          </cell>
          <cell r="B687" t="str">
            <v>VAR_fout</v>
          </cell>
          <cell r="C687" t="str">
            <v>T-PEVmix-ELC_DSL_S3</v>
          </cell>
          <cell r="D687">
            <v>7.0298468346699974E-5</v>
          </cell>
          <cell r="E687">
            <v>1.0064874608293488E-2</v>
          </cell>
          <cell r="F687">
            <v>0.78606741645543288</v>
          </cell>
          <cell r="G687">
            <v>2.0684039254502737</v>
          </cell>
          <cell r="H687">
            <v>2.1512704399809204</v>
          </cell>
          <cell r="I687">
            <v>0.2276883666750906</v>
          </cell>
        </row>
        <row r="688">
          <cell r="A688" t="str">
            <v>T-Plg-DSL-mix_S3</v>
          </cell>
          <cell r="B688" t="str">
            <v>VAR_fin</v>
          </cell>
          <cell r="C688" t="str">
            <v>TDSL</v>
          </cell>
          <cell r="D688">
            <v>1.2698814464990785E-4</v>
          </cell>
          <cell r="E688">
            <v>1.8181331438655142E-2</v>
          </cell>
          <cell r="F688">
            <v>1.4199632670959588</v>
          </cell>
          <cell r="G688">
            <v>3.736394021902568</v>
          </cell>
          <cell r="H688">
            <v>3.4751778891082332</v>
          </cell>
          <cell r="I688">
            <v>0.3283996655101995</v>
          </cell>
        </row>
        <row r="689">
          <cell r="A689" t="str">
            <v>D-T-ELC-Bus_u_S4</v>
          </cell>
          <cell r="B689" t="str">
            <v>VAR_fout</v>
          </cell>
          <cell r="C689" t="str">
            <v>T-ELC-Bus_u_BatSTGin_S4</v>
          </cell>
          <cell r="D689">
            <v>2.2501539983802609E-4</v>
          </cell>
          <cell r="E689">
            <v>3.8996235455778693E-4</v>
          </cell>
          <cell r="F689">
            <v>7.1160662700561197E-4</v>
          </cell>
          <cell r="G689">
            <v>6.2868653976000703E-4</v>
          </cell>
          <cell r="H689">
            <v>6.3649878280715774E-4</v>
          </cell>
          <cell r="I689">
            <v>4.1045984439031126E-4</v>
          </cell>
        </row>
        <row r="690">
          <cell r="A690" t="str">
            <v>D-T-ELC-Bus_u_S4</v>
          </cell>
          <cell r="B690" t="str">
            <v>VAR_fin</v>
          </cell>
          <cell r="C690" t="str">
            <v>TELC</v>
          </cell>
          <cell r="D690">
            <v>2.2501539983802609E-4</v>
          </cell>
          <cell r="E690">
            <v>3.8996235455778693E-4</v>
          </cell>
          <cell r="F690">
            <v>7.1160662700561197E-4</v>
          </cell>
          <cell r="G690">
            <v>6.2868653976000703E-4</v>
          </cell>
          <cell r="H690">
            <v>6.3649878280715774E-4</v>
          </cell>
          <cell r="I690">
            <v>4.1045984439031126E-4</v>
          </cell>
        </row>
        <row r="691">
          <cell r="A691" t="str">
            <v>D-T-ELC-Bus_u_S4</v>
          </cell>
          <cell r="B691" t="str">
            <v>VAR_ncap</v>
          </cell>
          <cell r="C691" t="str">
            <v>-</v>
          </cell>
          <cell r="D691">
            <v>2.03393264521741E-4</v>
          </cell>
          <cell r="E691">
            <v>1.5645444978678799E-4</v>
          </cell>
          <cell r="F691">
            <v>1.13232317666091E-4</v>
          </cell>
          <cell r="G691">
            <v>1.3961013816737801E-4</v>
          </cell>
          <cell r="H691">
            <v>1.7727446313173999E-4</v>
          </cell>
          <cell r="I691">
            <v>6.6518669596415996E-5</v>
          </cell>
        </row>
        <row r="692">
          <cell r="A692" t="str">
            <v>D-T-ELC-Bus_u_S4</v>
          </cell>
          <cell r="B692" t="str">
            <v>VAR_cap</v>
          </cell>
          <cell r="C692" t="str">
            <v>-</v>
          </cell>
          <cell r="D692">
            <v>2.03393264521741E-4</v>
          </cell>
          <cell r="E692">
            <v>3.5984771430852899E-4</v>
          </cell>
          <cell r="F692">
            <v>4.7308003197462002E-4</v>
          </cell>
          <cell r="G692">
            <v>3.0120745246150799E-4</v>
          </cell>
          <cell r="H692">
            <v>2.8142554550705302E-4</v>
          </cell>
          <cell r="I692">
            <v>9.7628323386376903E-5</v>
          </cell>
        </row>
        <row r="693">
          <cell r="A693" t="str">
            <v>T_C-FC-H2O-S1</v>
          </cell>
          <cell r="B693" t="str">
            <v>VAR_fout</v>
          </cell>
          <cell r="C693" t="str">
            <v>TPCAR</v>
          </cell>
          <cell r="E693">
            <v>6.2869355083371991E-5</v>
          </cell>
          <cell r="F693">
            <v>1.0485118186340696E-4</v>
          </cell>
          <cell r="H693">
            <v>5.9264366216097703E-5</v>
          </cell>
          <cell r="I693">
            <v>4.3007250917897398E-5</v>
          </cell>
        </row>
        <row r="694">
          <cell r="A694" t="str">
            <v>T_C-FC-H2O-S1</v>
          </cell>
          <cell r="B694" t="str">
            <v>VAR_fin</v>
          </cell>
          <cell r="C694" t="str">
            <v>TH2O</v>
          </cell>
          <cell r="E694">
            <v>5.7332750535302513E-5</v>
          </cell>
          <cell r="F694">
            <v>9.5617437861968203E-5</v>
          </cell>
          <cell r="H694">
            <v>5.01704830817381E-5</v>
          </cell>
          <cell r="I694">
            <v>3.3091374955980312E-5</v>
          </cell>
        </row>
        <row r="695">
          <cell r="A695" t="str">
            <v>T_C-FC-H2O-S1</v>
          </cell>
          <cell r="B695" t="str">
            <v>VAR_ncap</v>
          </cell>
          <cell r="C695" t="str">
            <v>-</v>
          </cell>
          <cell r="E695">
            <v>7.7284041203617806E-6</v>
          </cell>
          <cell r="F695">
            <v>6.1872128613524697E-6</v>
          </cell>
          <cell r="G695">
            <v>2.1643282910865702E-6</v>
          </cell>
          <cell r="H695">
            <v>3.4797901791590001E-6</v>
          </cell>
          <cell r="I695">
            <v>3.4952480386333498E-6</v>
          </cell>
        </row>
        <row r="696">
          <cell r="A696" t="str">
            <v>T_C-FC-H2O-S1</v>
          </cell>
          <cell r="B696" t="str">
            <v>VAR_cap</v>
          </cell>
          <cell r="C696" t="str">
            <v>-</v>
          </cell>
          <cell r="E696">
            <v>7.6255147099522802E-6</v>
          </cell>
          <cell r="F696">
            <v>1.32938818580192E-5</v>
          </cell>
          <cell r="G696">
            <v>1.2933938999580495E-5</v>
          </cell>
          <cell r="H696">
            <v>7.6872836909454395E-6</v>
          </cell>
          <cell r="I696">
            <v>5.6472845272461651E-6</v>
          </cell>
        </row>
        <row r="697">
          <cell r="A697" t="str">
            <v>T_B_c-ICEDSL-S1</v>
          </cell>
          <cell r="B697" t="str">
            <v>VAR_fout</v>
          </cell>
          <cell r="C697" t="str">
            <v>CO2_T</v>
          </cell>
          <cell r="D697">
            <v>8.2927494022781687</v>
          </cell>
          <cell r="E697">
            <v>22.442949648142722</v>
          </cell>
          <cell r="F697">
            <v>27.258640178030401</v>
          </cell>
          <cell r="H697">
            <v>7.6311386472886268E-4</v>
          </cell>
          <cell r="I697">
            <v>1.3008441271755299E-4</v>
          </cell>
        </row>
        <row r="698">
          <cell r="A698" t="str">
            <v>T_B_c-ICEDSL-S1</v>
          </cell>
          <cell r="B698" t="str">
            <v>VAR_fout</v>
          </cell>
          <cell r="C698" t="str">
            <v>TPBSc</v>
          </cell>
          <cell r="D698">
            <v>1.4019517081857117E-2</v>
          </cell>
          <cell r="E698">
            <v>3.8785394849204943E-2</v>
          </cell>
          <cell r="F698">
            <v>4.7682247097148744E-2</v>
          </cell>
          <cell r="H698">
            <v>1.6838143345280575E-6</v>
          </cell>
          <cell r="I698">
            <v>3.1704337578438702E-7</v>
          </cell>
        </row>
        <row r="699">
          <cell r="A699" t="str">
            <v>T_B_c-ICEDSL-S1</v>
          </cell>
          <cell r="B699" t="str">
            <v>VAR_fin</v>
          </cell>
          <cell r="C699" t="str">
            <v>TDSL</v>
          </cell>
          <cell r="D699">
            <v>0.11313437110884267</v>
          </cell>
          <cell r="E699">
            <v>0.30617939492691232</v>
          </cell>
          <cell r="F699">
            <v>0.37187776504816394</v>
          </cell>
          <cell r="H699">
            <v>1.0410830351007674E-5</v>
          </cell>
          <cell r="I699">
            <v>1.7746850302531062E-6</v>
          </cell>
        </row>
        <row r="700">
          <cell r="A700" t="str">
            <v>T_B_c-ICEDSL-S1</v>
          </cell>
          <cell r="B700" t="str">
            <v>VAR_ncap</v>
          </cell>
          <cell r="C700" t="str">
            <v>-</v>
          </cell>
          <cell r="E700">
            <v>4.86256270907487E-4</v>
          </cell>
          <cell r="F700">
            <v>1.94053206116519E-4</v>
          </cell>
          <cell r="H700">
            <v>3.9057716583737997E-8</v>
          </cell>
          <cell r="I700">
            <v>4.3807126058670502E-8</v>
          </cell>
        </row>
        <row r="701">
          <cell r="A701" t="str">
            <v>T_B_c-ICEDSL-S1</v>
          </cell>
          <cell r="B701" t="str">
            <v>VAR_cap</v>
          </cell>
          <cell r="C701" t="str">
            <v>-</v>
          </cell>
          <cell r="D701">
            <v>3.05805288461538E-4</v>
          </cell>
          <cell r="E701">
            <v>8.4538117470946399E-4</v>
          </cell>
          <cell r="F701">
            <v>1.0395159051463498E-3</v>
          </cell>
          <cell r="G701">
            <v>-2.3099100835972768E-8</v>
          </cell>
          <cell r="H701">
            <v>5.6775171109520197E-8</v>
          </cell>
          <cell r="I701">
            <v>6.6503989473674202E-8</v>
          </cell>
        </row>
        <row r="702">
          <cell r="A702" t="str">
            <v>T-Plg-DSL-mix_S4</v>
          </cell>
          <cell r="B702" t="str">
            <v>VAR_fout</v>
          </cell>
          <cell r="C702" t="str">
            <v>CO2_T</v>
          </cell>
          <cell r="D702">
            <v>0.42013934605494802</v>
          </cell>
          <cell r="E702">
            <v>1.7021946974059761</v>
          </cell>
          <cell r="F702">
            <v>2.1875096284916022</v>
          </cell>
          <cell r="G702">
            <v>1.9010121204219934</v>
          </cell>
          <cell r="H702">
            <v>0.4675714000983327</v>
          </cell>
          <cell r="I702">
            <v>7.0776346710548652E-2</v>
          </cell>
        </row>
        <row r="703">
          <cell r="A703" t="str">
            <v>T-Plg-DSL-mix_S4</v>
          </cell>
          <cell r="B703" t="str">
            <v>VAR_fout</v>
          </cell>
          <cell r="C703" t="str">
            <v>T-PEVmix-ELC_DSL_S4</v>
          </cell>
          <cell r="D703">
            <v>3.0206383874726286E-3</v>
          </cell>
          <cell r="E703">
            <v>1.2238117410846808E-2</v>
          </cell>
          <cell r="F703">
            <v>1.5727342889526836E-2</v>
          </cell>
          <cell r="G703">
            <v>1.3667537306173698E-2</v>
          </cell>
          <cell r="H703">
            <v>3.7114609785270339E-3</v>
          </cell>
          <cell r="I703">
            <v>6.2252589274994598E-4</v>
          </cell>
        </row>
        <row r="704">
          <cell r="A704" t="str">
            <v>T-Plg-DSL-mix_S4</v>
          </cell>
          <cell r="B704" t="str">
            <v>VAR_fin</v>
          </cell>
          <cell r="C704" t="str">
            <v>TDSL</v>
          </cell>
          <cell r="D704">
            <v>5.7317782545013305E-3</v>
          </cell>
          <cell r="E704">
            <v>2.3222301465292975E-2</v>
          </cell>
          <cell r="F704">
            <v>2.9843241862095592E-2</v>
          </cell>
          <cell r="G704">
            <v>2.5934681042591976E-2</v>
          </cell>
          <cell r="H704">
            <v>6.3788731254888582E-3</v>
          </cell>
          <cell r="I704">
            <v>9.6557089646041774E-4</v>
          </cell>
        </row>
        <row r="705">
          <cell r="A705" t="str">
            <v>T_C-FC-H2O-S2</v>
          </cell>
          <cell r="B705" t="str">
            <v>VAR_fout</v>
          </cell>
          <cell r="C705" t="str">
            <v>TPCAR</v>
          </cell>
          <cell r="D705">
            <v>8.2236446083060034E-5</v>
          </cell>
          <cell r="E705">
            <v>1.2116127774431106E-4</v>
          </cell>
          <cell r="F705">
            <v>1.4635475898604363E-4</v>
          </cell>
          <cell r="H705">
            <v>6.2828547291088915E-5</v>
          </cell>
          <cell r="I705">
            <v>6.0395350688166671E-5</v>
          </cell>
        </row>
        <row r="706">
          <cell r="A706" t="str">
            <v>T_C-FC-H2O-S2</v>
          </cell>
          <cell r="B706" t="str">
            <v>VAR_fin</v>
          </cell>
          <cell r="C706" t="str">
            <v>TH2O</v>
          </cell>
          <cell r="D706">
            <v>9.2245528929226693E-5</v>
          </cell>
          <cell r="E706">
            <v>1.3590794208174318E-4</v>
          </cell>
          <cell r="F706">
            <v>1.641677479634922E-4</v>
          </cell>
          <cell r="H706">
            <v>6.4451992963308037E-5</v>
          </cell>
          <cell r="I706">
            <v>5.6253481383624638E-5</v>
          </cell>
        </row>
        <row r="707">
          <cell r="A707" t="str">
            <v>T_C-FC-H2O-S2</v>
          </cell>
          <cell r="B707" t="str">
            <v>VAR_ncap</v>
          </cell>
          <cell r="C707" t="str">
            <v>-</v>
          </cell>
          <cell r="E707">
            <v>3.19309741229725E-6</v>
          </cell>
          <cell r="F707">
            <v>2.23472615192104E-6</v>
          </cell>
          <cell r="G707">
            <v>8.5437037000141E-7</v>
          </cell>
          <cell r="H707">
            <v>2.9689505185437199E-6</v>
          </cell>
          <cell r="I707">
            <v>3.4248298210060299E-6</v>
          </cell>
        </row>
        <row r="708">
          <cell r="A708" t="str">
            <v>T_C-FC-H2O-S2</v>
          </cell>
          <cell r="B708" t="str">
            <v>VAR_cap</v>
          </cell>
          <cell r="C708" t="str">
            <v>-</v>
          </cell>
          <cell r="D708">
            <v>6.322006774435258E-6</v>
          </cell>
          <cell r="E708">
            <v>9.4728120284232473E-6</v>
          </cell>
          <cell r="F708">
            <v>1.150856000173187E-5</v>
          </cell>
          <cell r="G708">
            <v>6.3260884584378395E-6</v>
          </cell>
          <cell r="H708">
            <v>5.329737406900825E-6</v>
          </cell>
          <cell r="I708">
            <v>4.9985971283762135E-6</v>
          </cell>
        </row>
        <row r="709">
          <cell r="A709" t="str">
            <v>T_B_c-ICEDSL-S2</v>
          </cell>
          <cell r="B709" t="str">
            <v>VAR_fout</v>
          </cell>
          <cell r="C709" t="str">
            <v>CO2_T</v>
          </cell>
          <cell r="D709">
            <v>38.029050956295798</v>
          </cell>
          <cell r="E709">
            <v>29.206966973103693</v>
          </cell>
          <cell r="F709">
            <v>33.866442890214543</v>
          </cell>
          <cell r="H709">
            <v>1.5776552055070091E-3</v>
          </cell>
        </row>
        <row r="710">
          <cell r="A710" t="str">
            <v>T_B_c-ICEDSL-S2</v>
          </cell>
          <cell r="B710" t="str">
            <v>VAR_fout</v>
          </cell>
          <cell r="C710" t="str">
            <v>TPBSc</v>
          </cell>
          <cell r="D710">
            <v>4.5378488059604538E-2</v>
          </cell>
          <cell r="E710">
            <v>3.4987853542126933E-2</v>
          </cell>
          <cell r="F710">
            <v>4.0566031319731778E-2</v>
          </cell>
          <cell r="H710">
            <v>2.3270924188897555E-6</v>
          </cell>
        </row>
        <row r="711">
          <cell r="A711" t="str">
            <v>T_B_c-ICEDSL-S2</v>
          </cell>
          <cell r="B711" t="str">
            <v>VAR_fin</v>
          </cell>
          <cell r="C711" t="str">
            <v>TDSL</v>
          </cell>
          <cell r="D711">
            <v>0.51881379203677647</v>
          </cell>
          <cell r="E711">
            <v>0.39845793960578013</v>
          </cell>
          <cell r="F711">
            <v>0.46202514174917592</v>
          </cell>
          <cell r="H711">
            <v>2.1523263376630398E-5</v>
          </cell>
        </row>
        <row r="712">
          <cell r="A712" t="str">
            <v>T_B_c-ICEDSL-S2</v>
          </cell>
          <cell r="B712" t="str">
            <v>VAR_ncap</v>
          </cell>
          <cell r="C712" t="str">
            <v>-</v>
          </cell>
          <cell r="E712">
            <v>1.61334774956262E-6</v>
          </cell>
          <cell r="F712">
            <v>3.9456911329325399E-6</v>
          </cell>
          <cell r="H712">
            <v>2.10019565345953E-8</v>
          </cell>
          <cell r="I712">
            <v>1.9300363420996399E-8</v>
          </cell>
        </row>
        <row r="713">
          <cell r="A713" t="str">
            <v>T_B_c-ICEDSL-S2</v>
          </cell>
          <cell r="B713" t="str">
            <v>VAR_cap</v>
          </cell>
          <cell r="C713" t="str">
            <v>-</v>
          </cell>
          <cell r="D713">
            <v>9.8784375000000001E-4</v>
          </cell>
          <cell r="E713">
            <v>8.7801639369460547E-4</v>
          </cell>
          <cell r="F713">
            <v>8.8221170029397704E-4</v>
          </cell>
          <cell r="G713">
            <v>-1.2074268451061666E-8</v>
          </cell>
          <cell r="H713">
            <v>3.2168162938987002E-9</v>
          </cell>
          <cell r="I713">
            <v>2.9832955722954699E-8</v>
          </cell>
        </row>
        <row r="714">
          <cell r="A714" t="str">
            <v>T_TW-FCLH2O-S1</v>
          </cell>
          <cell r="B714" t="str">
            <v>VAR_fout</v>
          </cell>
          <cell r="C714" t="str">
            <v>TPTWL</v>
          </cell>
          <cell r="H714">
            <v>7.4711453537459503E-4</v>
          </cell>
          <cell r="I714">
            <v>5.2750538134625562E-4</v>
          </cell>
        </row>
        <row r="715">
          <cell r="A715" t="str">
            <v>T_TW-FCLH2O-S1</v>
          </cell>
          <cell r="B715" t="str">
            <v>VAR_fin</v>
          </cell>
          <cell r="C715" t="str">
            <v>TH2O</v>
          </cell>
          <cell r="H715">
            <v>1.5734645497029372E-4</v>
          </cell>
          <cell r="I715">
            <v>1.0867576271341932E-4</v>
          </cell>
        </row>
        <row r="716">
          <cell r="A716" t="str">
            <v>T_TW-FCLH2O-S1</v>
          </cell>
          <cell r="B716" t="str">
            <v>VAR_ncap</v>
          </cell>
          <cell r="C716" t="str">
            <v>-</v>
          </cell>
          <cell r="G716">
            <v>2.7069367654897901E-5</v>
          </cell>
          <cell r="H716">
            <v>1.51478833797384E-4</v>
          </cell>
          <cell r="I716">
            <v>1.12515574820574E-4</v>
          </cell>
        </row>
        <row r="717">
          <cell r="A717" t="str">
            <v>T_TW-FCLH2O-S1</v>
          </cell>
          <cell r="B717" t="str">
            <v>VAR_cap</v>
          </cell>
          <cell r="C717" t="str">
            <v>-</v>
          </cell>
          <cell r="G717">
            <v>2.7069367654897901E-5</v>
          </cell>
          <cell r="H717">
            <v>3.0859843594811852E-4</v>
          </cell>
          <cell r="I717">
            <v>2.1511805410879344E-4</v>
          </cell>
        </row>
        <row r="718">
          <cell r="A718" t="str">
            <v>D-T-ELC-TW_Bat_S1</v>
          </cell>
          <cell r="B718" t="str">
            <v>VAR_fout</v>
          </cell>
          <cell r="C718" t="str">
            <v>T-ELC-TWSTGin_S1</v>
          </cell>
          <cell r="D718">
            <v>1.5974126849658183E-3</v>
          </cell>
          <cell r="E718">
            <v>2.2513018334386825E-3</v>
          </cell>
          <cell r="F718">
            <v>2.3617094734067002E-3</v>
          </cell>
          <cell r="G718">
            <v>7.3376366215597583E-3</v>
          </cell>
          <cell r="H718">
            <v>0.16926267275436432</v>
          </cell>
          <cell r="I718">
            <v>0.16317147237820198</v>
          </cell>
        </row>
        <row r="719">
          <cell r="A719" t="str">
            <v>D-T-ELC-TW_Bat_S1</v>
          </cell>
          <cell r="B719" t="str">
            <v>VAR_fin</v>
          </cell>
          <cell r="C719" t="str">
            <v>TELC</v>
          </cell>
          <cell r="D719">
            <v>1.5974126849658183E-3</v>
          </cell>
          <cell r="E719">
            <v>2.2513018334386825E-3</v>
          </cell>
          <cell r="F719">
            <v>2.3617094734067002E-3</v>
          </cell>
          <cell r="G719">
            <v>7.3376366215597583E-3</v>
          </cell>
          <cell r="H719">
            <v>0.16926267275436432</v>
          </cell>
          <cell r="I719">
            <v>0.16317147237820198</v>
          </cell>
        </row>
        <row r="720">
          <cell r="A720" t="str">
            <v>D-T-ELC-TW_Bat_S1</v>
          </cell>
          <cell r="B720" t="str">
            <v>VAR_ncap</v>
          </cell>
          <cell r="C720" t="str">
            <v>-</v>
          </cell>
          <cell r="D720">
            <v>3.3078710135065099E-4</v>
          </cell>
          <cell r="E720">
            <v>2.0647286178934201E-6</v>
          </cell>
          <cell r="F720">
            <v>6.1913914873916103E-6</v>
          </cell>
          <cell r="G720">
            <v>5.2737090213574099E-4</v>
          </cell>
          <cell r="H720">
            <v>7.71117133819328E-3</v>
          </cell>
          <cell r="I720">
            <v>1.1611869629703399E-2</v>
          </cell>
        </row>
        <row r="721">
          <cell r="A721" t="str">
            <v>D-T-ELC-TW_Bat_S1</v>
          </cell>
          <cell r="B721" t="str">
            <v>VAR_cap</v>
          </cell>
          <cell r="C721" t="str">
            <v>-</v>
          </cell>
          <cell r="D721">
            <v>3.3078710135065099E-4</v>
          </cell>
          <cell r="E721">
            <v>3.3285182996854501E-4</v>
          </cell>
          <cell r="F721">
            <v>3.3904322145593603E-4</v>
          </cell>
          <cell r="G721">
            <v>7.7738930409918796E-4</v>
          </cell>
          <cell r="H721">
            <v>1.78945002427781E-2</v>
          </cell>
          <cell r="I721">
            <v>1.7249729141436701E-2</v>
          </cell>
        </row>
        <row r="722">
          <cell r="A722" t="str">
            <v>T_C-FC-H2O-S3</v>
          </cell>
          <cell r="B722" t="str">
            <v>VAR_fout</v>
          </cell>
          <cell r="C722" t="str">
            <v>TPCAR</v>
          </cell>
          <cell r="D722">
            <v>6.6789062971640205E-4</v>
          </cell>
          <cell r="E722">
            <v>1.530304521317331E-3</v>
          </cell>
          <cell r="F722">
            <v>1.4337146039062533E-3</v>
          </cell>
          <cell r="H722">
            <v>5.9040386900242486E-5</v>
          </cell>
          <cell r="I722">
            <v>7.0240818439095472E-5</v>
          </cell>
        </row>
        <row r="723">
          <cell r="A723" t="str">
            <v>T_C-FC-H2O-S3</v>
          </cell>
          <cell r="B723" t="str">
            <v>VAR_fin</v>
          </cell>
          <cell r="C723" t="str">
            <v>TH2O</v>
          </cell>
          <cell r="D723">
            <v>8.0468258784547632E-4</v>
          </cell>
          <cell r="E723">
            <v>1.8437291191345823E-3</v>
          </cell>
          <cell r="F723">
            <v>1.7273564358778514E-3</v>
          </cell>
          <cell r="H723">
            <v>6.4926148685299473E-5</v>
          </cell>
          <cell r="I723">
            <v>6.954088017854603E-5</v>
          </cell>
        </row>
        <row r="724">
          <cell r="A724" t="str">
            <v>T_C-FC-H2O-S3</v>
          </cell>
          <cell r="B724" t="str">
            <v>VAR_ncap</v>
          </cell>
          <cell r="C724" t="str">
            <v>-</v>
          </cell>
          <cell r="E724">
            <v>2.4174402627107899E-6</v>
          </cell>
          <cell r="F724">
            <v>1.28148987042653E-6</v>
          </cell>
          <cell r="G724">
            <v>4.0274076121706302E-7</v>
          </cell>
          <cell r="H724">
            <v>2.5531821086868301E-6</v>
          </cell>
          <cell r="I724">
            <v>3.7405323222473401E-6</v>
          </cell>
        </row>
        <row r="725">
          <cell r="A725" t="str">
            <v>T_C-FC-H2O-S3</v>
          </cell>
          <cell r="B725" t="str">
            <v>VAR_cap</v>
          </cell>
          <cell r="C725" t="str">
            <v>-</v>
          </cell>
          <cell r="D725">
            <v>5.3586907579353222E-5</v>
          </cell>
          <cell r="E725">
            <v>1.1040506781880831E-4</v>
          </cell>
          <cell r="F725">
            <v>1.0638347595210312E-4</v>
          </cell>
          <cell r="G725">
            <v>1.6300712153170869E-8</v>
          </cell>
          <cell r="H725">
            <v>4.0922245428588489E-6</v>
          </cell>
          <cell r="I725">
            <v>4.8829846675628314E-6</v>
          </cell>
        </row>
        <row r="726">
          <cell r="A726" t="str">
            <v>T_B_c-ICEDSL-S3</v>
          </cell>
          <cell r="B726" t="str">
            <v>VAR_fout</v>
          </cell>
          <cell r="C726" t="str">
            <v>CO2_T</v>
          </cell>
          <cell r="D726">
            <v>11.75834490982013</v>
          </cell>
          <cell r="E726">
            <v>9.3226884769201419</v>
          </cell>
          <cell r="F726">
            <v>10.508982830340253</v>
          </cell>
          <cell r="H726">
            <v>1.0922386352713251E-3</v>
          </cell>
        </row>
        <row r="727">
          <cell r="A727" t="str">
            <v>T_B_c-ICEDSL-S3</v>
          </cell>
          <cell r="B727" t="str">
            <v>VAR_fout</v>
          </cell>
          <cell r="C727" t="str">
            <v>TPBSc</v>
          </cell>
          <cell r="D727">
            <v>9.2959145624435628E-3</v>
          </cell>
          <cell r="E727">
            <v>7.3991573214696104E-3</v>
          </cell>
          <cell r="F727">
            <v>8.3410147470036854E-3</v>
          </cell>
          <cell r="H727">
            <v>1.1127393162255209E-6</v>
          </cell>
        </row>
        <row r="728">
          <cell r="A728" t="str">
            <v>T_B_c-ICEDSL-S3</v>
          </cell>
          <cell r="B728" t="str">
            <v>VAR_fin</v>
          </cell>
          <cell r="C728" t="str">
            <v>TDSL</v>
          </cell>
          <cell r="D728">
            <v>0.16041398239863755</v>
          </cell>
          <cell r="E728">
            <v>0.1271853816769461</v>
          </cell>
          <cell r="F728">
            <v>0.14336947926794386</v>
          </cell>
          <cell r="H728">
            <v>1.4900936361136758E-5</v>
          </cell>
        </row>
        <row r="729">
          <cell r="A729" t="str">
            <v>T_B_c-ICEDSL-S3</v>
          </cell>
          <cell r="B729" t="str">
            <v>VAR_ncap</v>
          </cell>
          <cell r="C729" t="str">
            <v>-</v>
          </cell>
          <cell r="E729">
            <v>6.4390726072379205E-7</v>
          </cell>
          <cell r="F729">
            <v>7.0971235369619499E-7</v>
          </cell>
          <cell r="H729">
            <v>3.5745689496486798E-8</v>
          </cell>
          <cell r="I729">
            <v>1.5979017321859301E-8</v>
          </cell>
        </row>
        <row r="730">
          <cell r="A730" t="str">
            <v>T_B_c-ICEDSL-S3</v>
          </cell>
          <cell r="B730" t="str">
            <v>VAR_cap</v>
          </cell>
          <cell r="C730" t="str">
            <v>-</v>
          </cell>
          <cell r="D730">
            <v>2.0389220812557049E-4</v>
          </cell>
          <cell r="E730">
            <v>1.8084726470057259E-4</v>
          </cell>
          <cell r="F730">
            <v>1.816638258116422E-4</v>
          </cell>
          <cell r="G730">
            <v>-6.903214067068811E-9</v>
          </cell>
          <cell r="H730">
            <v>5.4995687229027599E-8</v>
          </cell>
          <cell r="I730">
            <v>2.82226754539321E-8</v>
          </cell>
        </row>
        <row r="731">
          <cell r="A731" t="str">
            <v>T_TW-FCLH2O-S2</v>
          </cell>
          <cell r="B731" t="str">
            <v>VAR_fout</v>
          </cell>
          <cell r="C731" t="str">
            <v>TPTWL</v>
          </cell>
          <cell r="H731">
            <v>2.6918230980996525E-4</v>
          </cell>
          <cell r="I731">
            <v>2.0526585707822411E-4</v>
          </cell>
        </row>
        <row r="732">
          <cell r="A732" t="str">
            <v>T_TW-FCLH2O-S2</v>
          </cell>
          <cell r="B732" t="str">
            <v>VAR_fin</v>
          </cell>
          <cell r="C732" t="str">
            <v>TH2O</v>
          </cell>
          <cell r="H732">
            <v>9.7694193544158975E-5</v>
          </cell>
          <cell r="I732">
            <v>7.3179200265901273E-5</v>
          </cell>
        </row>
        <row r="733">
          <cell r="A733" t="str">
            <v>T_TW-FCLH2O-S2</v>
          </cell>
          <cell r="B733" t="str">
            <v>VAR_ncap</v>
          </cell>
          <cell r="C733" t="str">
            <v>-</v>
          </cell>
          <cell r="G733">
            <v>1.7553871776515701E-5</v>
          </cell>
          <cell r="H733">
            <v>4.8429535289201697E-5</v>
          </cell>
          <cell r="I733">
            <v>3.3254691683772199E-5</v>
          </cell>
        </row>
        <row r="734">
          <cell r="A734" t="str">
            <v>T_TW-FCLH2O-S2</v>
          </cell>
          <cell r="B734" t="str">
            <v>VAR_cap</v>
          </cell>
          <cell r="C734" t="str">
            <v>-</v>
          </cell>
          <cell r="G734">
            <v>1.7553871776515701E-5</v>
          </cell>
          <cell r="H734">
            <v>1.0751630744244132E-4</v>
          </cell>
          <cell r="I734">
            <v>8.191325982610742E-5</v>
          </cell>
        </row>
        <row r="735">
          <cell r="A735" t="str">
            <v>D-T-ELC-TW_Bat_S2</v>
          </cell>
          <cell r="B735" t="str">
            <v>VAR_fout</v>
          </cell>
          <cell r="C735" t="str">
            <v>T-ELC-TWSTGin_S2</v>
          </cell>
          <cell r="D735">
            <v>3.7934573588061931E-4</v>
          </cell>
          <cell r="E735">
            <v>5.4876460633320704E-4</v>
          </cell>
          <cell r="F735">
            <v>6.2410657131366535E-4</v>
          </cell>
          <cell r="G735">
            <v>7.8707529058377208E-3</v>
          </cell>
          <cell r="H735">
            <v>8.1075223442828807E-3</v>
          </cell>
          <cell r="I735">
            <v>5.3970184426934686E-3</v>
          </cell>
        </row>
        <row r="736">
          <cell r="A736" t="str">
            <v>D-T-ELC-TW_Bat_S2</v>
          </cell>
          <cell r="B736" t="str">
            <v>VAR_fin</v>
          </cell>
          <cell r="C736" t="str">
            <v>TELC</v>
          </cell>
          <cell r="D736">
            <v>3.7934573588061931E-4</v>
          </cell>
          <cell r="E736">
            <v>5.4876460633320704E-4</v>
          </cell>
          <cell r="F736">
            <v>6.2410657131366535E-4</v>
          </cell>
          <cell r="G736">
            <v>7.8707529058377208E-3</v>
          </cell>
          <cell r="H736">
            <v>8.1075223442828807E-3</v>
          </cell>
          <cell r="I736">
            <v>5.3970184426934686E-3</v>
          </cell>
        </row>
        <row r="737">
          <cell r="A737" t="str">
            <v>D-T-ELC-TW_Bat_S2</v>
          </cell>
          <cell r="B737" t="str">
            <v>VAR_ncap</v>
          </cell>
          <cell r="C737" t="str">
            <v>-</v>
          </cell>
          <cell r="D737">
            <v>2.5986138241272899E-4</v>
          </cell>
          <cell r="E737">
            <v>1.6825520797151901E-6</v>
          </cell>
          <cell r="F737">
            <v>1.4484233367351501E-5</v>
          </cell>
          <cell r="G737">
            <v>5.5830883455009297E-4</v>
          </cell>
          <cell r="H737">
            <v>9.3422954513626496E-6</v>
          </cell>
          <cell r="I737">
            <v>3.7373014262470102E-4</v>
          </cell>
        </row>
        <row r="738">
          <cell r="A738" t="str">
            <v>D-T-ELC-TW_Bat_S2</v>
          </cell>
          <cell r="B738" t="str">
            <v>VAR_cap</v>
          </cell>
          <cell r="C738" t="str">
            <v>-</v>
          </cell>
          <cell r="D738">
            <v>2.5986138241272899E-4</v>
          </cell>
          <cell r="E738">
            <v>2.6154393449244402E-4</v>
          </cell>
          <cell r="F738">
            <v>2.7602816785979599E-4</v>
          </cell>
          <cell r="G738">
            <v>8.3433700240988901E-4</v>
          </cell>
          <cell r="H738">
            <v>8.6622151560204904E-4</v>
          </cell>
          <cell r="I738">
            <v>5.7417217334887905E-4</v>
          </cell>
        </row>
        <row r="739">
          <cell r="A739" t="str">
            <v>T_C-FC-H2O-S4</v>
          </cell>
          <cell r="B739" t="str">
            <v>VAR_fout</v>
          </cell>
          <cell r="C739" t="str">
            <v>TPCAR</v>
          </cell>
          <cell r="E739">
            <v>4.150523508239643E-5</v>
          </cell>
          <cell r="F739">
            <v>6.3125668621010381E-5</v>
          </cell>
          <cell r="H739">
            <v>6.4228605464781876E-5</v>
          </cell>
          <cell r="I739">
            <v>7.8624472663653115E-5</v>
          </cell>
        </row>
        <row r="740">
          <cell r="A740" t="str">
            <v>T_C-FC-H2O-S4</v>
          </cell>
          <cell r="B740" t="str">
            <v>VAR_fin</v>
          </cell>
          <cell r="C740" t="str">
            <v>TH2O</v>
          </cell>
          <cell r="E740">
            <v>4.9602742939609474E-5</v>
          </cell>
          <cell r="F740">
            <v>7.5441237889217058E-5</v>
          </cell>
          <cell r="H740">
            <v>7.0358300474153011E-5</v>
          </cell>
          <cell r="I740">
            <v>7.7873345674770239E-5</v>
          </cell>
        </row>
        <row r="741">
          <cell r="A741" t="str">
            <v>T_C-FC-H2O-S4</v>
          </cell>
          <cell r="B741" t="str">
            <v>VAR_ncap</v>
          </cell>
          <cell r="C741" t="str">
            <v>-</v>
          </cell>
          <cell r="E741">
            <v>3.4925447908698699E-6</v>
          </cell>
          <cell r="F741">
            <v>1.9574245434913599E-6</v>
          </cell>
          <cell r="G741">
            <v>7.2597164553138905E-7</v>
          </cell>
          <cell r="H741">
            <v>3.3266539037878101E-6</v>
          </cell>
          <cell r="I741">
            <v>5.2535055808163798E-6</v>
          </cell>
        </row>
        <row r="742">
          <cell r="A742" t="str">
            <v>T_C-FC-H2O-S4</v>
          </cell>
          <cell r="B742" t="str">
            <v>VAR_cap</v>
          </cell>
          <cell r="C742" t="str">
            <v>-</v>
          </cell>
          <cell r="E742">
            <v>3.4460480149812199E-6</v>
          </cell>
          <cell r="F742">
            <v>5.1801658222131599E-6</v>
          </cell>
          <cell r="G742">
            <v>2.6907070990035198E-6</v>
          </cell>
          <cell r="H742">
            <v>5.6174018747635303E-6</v>
          </cell>
          <cell r="I742">
            <v>6.7456870153790181E-6</v>
          </cell>
        </row>
        <row r="743">
          <cell r="A743" t="str">
            <v>T_B_c-ICEDSL-S4</v>
          </cell>
          <cell r="B743" t="str">
            <v>VAR_fout</v>
          </cell>
          <cell r="C743" t="str">
            <v>CO2_T</v>
          </cell>
          <cell r="D743">
            <v>1.1515885765761351</v>
          </cell>
          <cell r="E743">
            <v>6.6428969534667467E-2</v>
          </cell>
          <cell r="F743">
            <v>8.4282521705361949E-2</v>
          </cell>
          <cell r="H743">
            <v>1.9226442858310178E-4</v>
          </cell>
        </row>
        <row r="744">
          <cell r="A744" t="str">
            <v>T_B_c-ICEDSL-S4</v>
          </cell>
          <cell r="B744" t="str">
            <v>VAR_fout</v>
          </cell>
          <cell r="C744" t="str">
            <v>TPBSc</v>
          </cell>
          <cell r="D744">
            <v>6.0716025226770242E-4</v>
          </cell>
          <cell r="E744">
            <v>3.531056731907722E-5</v>
          </cell>
          <cell r="F744">
            <v>4.5111192074767924E-5</v>
          </cell>
          <cell r="H744">
            <v>1.2955875858243603E-7</v>
          </cell>
        </row>
        <row r="745">
          <cell r="A745" t="str">
            <v>T_B_c-ICEDSL-S4</v>
          </cell>
          <cell r="B745" t="str">
            <v>VAR_fin</v>
          </cell>
          <cell r="C745" t="str">
            <v>TDSL</v>
          </cell>
          <cell r="D745">
            <v>1.5710621781393382E-2</v>
          </cell>
          <cell r="E745">
            <v>9.0626152161893078E-4</v>
          </cell>
          <cell r="F745">
            <v>1.1498297640567799E-3</v>
          </cell>
          <cell r="H745">
            <v>2.6229799260996102E-6</v>
          </cell>
        </row>
        <row r="746">
          <cell r="A746" t="str">
            <v>T_B_c-ICEDSL-S4</v>
          </cell>
          <cell r="B746" t="str">
            <v>VAR_ncap</v>
          </cell>
          <cell r="C746" t="str">
            <v>-</v>
          </cell>
          <cell r="E746">
            <v>1.1582006743657599E-7</v>
          </cell>
          <cell r="F746">
            <v>9.9897095634365604E-8</v>
          </cell>
        </row>
        <row r="747">
          <cell r="A747" t="str">
            <v>T_B_c-ICEDSL-S4</v>
          </cell>
          <cell r="B747" t="str">
            <v>VAR_cap</v>
          </cell>
          <cell r="C747" t="str">
            <v>-</v>
          </cell>
          <cell r="D747">
            <v>1.4262365002869804E-5</v>
          </cell>
          <cell r="E747">
            <v>9.1659668546477331E-7</v>
          </cell>
          <cell r="F747">
            <v>1.0709039469439444E-6</v>
          </cell>
          <cell r="G747">
            <v>-1.948163442781523E-8</v>
          </cell>
          <cell r="H747">
            <v>-1.3835491352886801E-8</v>
          </cell>
        </row>
        <row r="748">
          <cell r="A748" t="str">
            <v>D-T-ELC-HGV</v>
          </cell>
          <cell r="B748" t="str">
            <v>VAR_fout</v>
          </cell>
          <cell r="C748" t="str">
            <v>T-ELC-HGV_BatSTGin</v>
          </cell>
          <cell r="D748">
            <v>5.4948788275644873E-3</v>
          </cell>
          <cell r="E748">
            <v>6.8285396082226058E-3</v>
          </cell>
          <cell r="F748">
            <v>9.5424513514183445E-3</v>
          </cell>
          <cell r="G748">
            <v>6.1078205227124193E-3</v>
          </cell>
          <cell r="H748">
            <v>6.427824182183163</v>
          </cell>
          <cell r="I748">
            <v>7.9309253518851133</v>
          </cell>
        </row>
        <row r="749">
          <cell r="A749" t="str">
            <v>D-T-ELC-HGV</v>
          </cell>
          <cell r="B749" t="str">
            <v>VAR_fin</v>
          </cell>
          <cell r="C749" t="str">
            <v>TELC</v>
          </cell>
          <cell r="D749">
            <v>5.4948788275644873E-3</v>
          </cell>
          <cell r="E749">
            <v>6.8285396082226058E-3</v>
          </cell>
          <cell r="F749">
            <v>9.5424513514183445E-3</v>
          </cell>
          <cell r="G749">
            <v>6.1078205227124193E-3</v>
          </cell>
          <cell r="H749">
            <v>6.427824182183163</v>
          </cell>
          <cell r="I749">
            <v>7.9309253518851133</v>
          </cell>
        </row>
        <row r="750">
          <cell r="A750" t="str">
            <v>D-T-ELC-HGV</v>
          </cell>
          <cell r="B750" t="str">
            <v>VAR_ncap</v>
          </cell>
          <cell r="C750" t="str">
            <v>-</v>
          </cell>
          <cell r="D750">
            <v>8.4255801168353097E-4</v>
          </cell>
          <cell r="E750">
            <v>3.5581181327909098E-4</v>
          </cell>
          <cell r="F750">
            <v>3.2589676436448501E-4</v>
          </cell>
          <cell r="G750">
            <v>4.15876507399126E-4</v>
          </cell>
          <cell r="H750">
            <v>0.48650393506456402</v>
          </cell>
          <cell r="I750">
            <v>0.91054853072634501</v>
          </cell>
        </row>
        <row r="751">
          <cell r="A751" t="str">
            <v>D-T-ELC-HGV</v>
          </cell>
          <cell r="B751" t="str">
            <v>VAR_cap</v>
          </cell>
          <cell r="C751" t="str">
            <v>-</v>
          </cell>
          <cell r="D751">
            <v>8.4255801168353097E-4</v>
          </cell>
          <cell r="E751">
            <v>1.19836982496262E-3</v>
          </cell>
          <cell r="F751">
            <v>1.5242665893271099E-3</v>
          </cell>
          <cell r="G751">
            <v>8.9180699731390201E-4</v>
          </cell>
          <cell r="H751">
            <v>0.80869153224097701</v>
          </cell>
          <cell r="I751">
            <v>0.99592444285681803</v>
          </cell>
        </row>
        <row r="752">
          <cell r="A752" t="str">
            <v>T_TW-FCLH2O-S3</v>
          </cell>
          <cell r="B752" t="str">
            <v>VAR_fout</v>
          </cell>
          <cell r="C752" t="str">
            <v>TPTWL</v>
          </cell>
          <cell r="H752">
            <v>1.3237715326978565E-4</v>
          </cell>
          <cell r="I752">
            <v>1.3067162713687174E-4</v>
          </cell>
        </row>
        <row r="753">
          <cell r="A753" t="str">
            <v>T_TW-FCLH2O-S3</v>
          </cell>
          <cell r="B753" t="str">
            <v>VAR_fin</v>
          </cell>
          <cell r="C753" t="str">
            <v>TH2O</v>
          </cell>
          <cell r="H753">
            <v>7.3906544883911476E-5</v>
          </cell>
          <cell r="I753">
            <v>7.1677235073952855E-5</v>
          </cell>
        </row>
        <row r="754">
          <cell r="A754" t="str">
            <v>T_TW-FCLH2O-S3</v>
          </cell>
          <cell r="B754" t="str">
            <v>VAR_ncap</v>
          </cell>
          <cell r="C754" t="str">
            <v>-</v>
          </cell>
          <cell r="G754">
            <v>1.28486865097547E-5</v>
          </cell>
          <cell r="H754">
            <v>1.8881898228585899E-5</v>
          </cell>
          <cell r="I754">
            <v>1.5548262195361801E-5</v>
          </cell>
        </row>
        <row r="755">
          <cell r="A755" t="str">
            <v>T_TW-FCLH2O-S3</v>
          </cell>
          <cell r="B755" t="str">
            <v>VAR_cap</v>
          </cell>
          <cell r="C755" t="str">
            <v>-</v>
          </cell>
          <cell r="G755">
            <v>1.28486865097547E-5</v>
          </cell>
          <cell r="H755">
            <v>4.8733884690987815E-5</v>
          </cell>
          <cell r="I755">
            <v>5.1279052702339957E-5</v>
          </cell>
        </row>
        <row r="756">
          <cell r="A756" t="str">
            <v>D-T-ELC-TW_Bat_S3</v>
          </cell>
          <cell r="B756" t="str">
            <v>VAR_fout</v>
          </cell>
          <cell r="C756" t="str">
            <v>T-ELC-TWSTGin_S3</v>
          </cell>
          <cell r="D756">
            <v>1.3146891975860341E-4</v>
          </cell>
          <cell r="E756">
            <v>2.5767940165505142E-4</v>
          </cell>
          <cell r="F756">
            <v>3.2280719707045342E-4</v>
          </cell>
          <cell r="G756">
            <v>8.8071689173496708E-3</v>
          </cell>
          <cell r="H756">
            <v>1.4044155815753929E-2</v>
          </cell>
          <cell r="I756">
            <v>8.1346714309892751E-3</v>
          </cell>
        </row>
        <row r="757">
          <cell r="A757" t="str">
            <v>D-T-ELC-TW_Bat_S3</v>
          </cell>
          <cell r="B757" t="str">
            <v>VAR_fin</v>
          </cell>
          <cell r="C757" t="str">
            <v>TELC</v>
          </cell>
          <cell r="D757">
            <v>1.3146891975860341E-4</v>
          </cell>
          <cell r="E757">
            <v>2.5767940165505142E-4</v>
          </cell>
          <cell r="F757">
            <v>3.2280719707045342E-4</v>
          </cell>
          <cell r="G757">
            <v>8.8071689173496708E-3</v>
          </cell>
          <cell r="H757">
            <v>1.4044155815753929E-2</v>
          </cell>
          <cell r="I757">
            <v>8.1346714309892751E-3</v>
          </cell>
        </row>
        <row r="758">
          <cell r="A758" t="str">
            <v>D-T-ELC-TW_Bat_S3</v>
          </cell>
          <cell r="B758" t="str">
            <v>VAR_ncap</v>
          </cell>
          <cell r="C758" t="str">
            <v>-</v>
          </cell>
          <cell r="D758">
            <v>2.9857394281881001E-4</v>
          </cell>
          <cell r="E758">
            <v>1.9608008161780098E-6</v>
          </cell>
          <cell r="F758">
            <v>6.5929818122865401E-6</v>
          </cell>
          <cell r="G758">
            <v>6.26570578749359E-4</v>
          </cell>
          <cell r="H758">
            <v>2.3182032761774599E-5</v>
          </cell>
          <cell r="I758">
            <v>9.7280915118496203E-5</v>
          </cell>
        </row>
        <row r="759">
          <cell r="A759" t="str">
            <v>D-T-ELC-TW_Bat_S3</v>
          </cell>
          <cell r="B759" t="str">
            <v>VAR_cap</v>
          </cell>
          <cell r="C759" t="str">
            <v>-</v>
          </cell>
          <cell r="D759">
            <v>2.9857394281881001E-4</v>
          </cell>
          <cell r="E759">
            <v>3.0053474363498798E-4</v>
          </cell>
          <cell r="F759">
            <v>3.0712772544727401E-4</v>
          </cell>
          <cell r="G759">
            <v>9.3369830419663398E-4</v>
          </cell>
          <cell r="H759">
            <v>1.49063034500182E-3</v>
          </cell>
          <cell r="I759">
            <v>8.6413760959561602E-4</v>
          </cell>
        </row>
        <row r="760">
          <cell r="A760" t="str">
            <v>T_TW-FCLH2O-S4</v>
          </cell>
          <cell r="B760" t="str">
            <v>VAR_fout</v>
          </cell>
          <cell r="C760" t="str">
            <v>TPTWL</v>
          </cell>
          <cell r="H760">
            <v>7.8814856065854565E-5</v>
          </cell>
          <cell r="I760">
            <v>9.2632517949639684E-5</v>
          </cell>
        </row>
        <row r="761">
          <cell r="A761" t="str">
            <v>T_TW-FCLH2O-S4</v>
          </cell>
          <cell r="B761" t="str">
            <v>VAR_fin</v>
          </cell>
          <cell r="C761" t="str">
            <v>TH2O</v>
          </cell>
          <cell r="H761">
            <v>4.9389981881564747E-5</v>
          </cell>
          <cell r="I761">
            <v>5.7127134519982417E-5</v>
          </cell>
        </row>
        <row r="762">
          <cell r="A762" t="str">
            <v>T_TW-FCLH2O-S4</v>
          </cell>
          <cell r="B762" t="str">
            <v>VAR_ncap</v>
          </cell>
          <cell r="C762" t="str">
            <v>-</v>
          </cell>
          <cell r="G762">
            <v>5.6316604727728697E-6</v>
          </cell>
          <cell r="H762">
            <v>1.22957684377241E-5</v>
          </cell>
          <cell r="I762">
            <v>9.7759476425142901E-6</v>
          </cell>
        </row>
        <row r="763">
          <cell r="A763" t="str">
            <v>T_TW-FCLH2O-S4</v>
          </cell>
          <cell r="B763" t="str">
            <v>VAR_cap</v>
          </cell>
          <cell r="C763" t="str">
            <v>-</v>
          </cell>
          <cell r="G763">
            <v>5.6316604727728697E-6</v>
          </cell>
          <cell r="H763">
            <v>2.6875188152629249E-5</v>
          </cell>
          <cell r="I763">
            <v>3.4692493996274943E-5</v>
          </cell>
        </row>
        <row r="764">
          <cell r="A764" t="str">
            <v>D-T-ELC-TW_Bat_S4</v>
          </cell>
          <cell r="B764" t="str">
            <v>VAR_fout</v>
          </cell>
          <cell r="C764" t="str">
            <v>T-ELC-TWSTGin_S4</v>
          </cell>
          <cell r="D764">
            <v>1.5214057784205151E-4</v>
          </cell>
          <cell r="E764">
            <v>2.7686389660593448E-4</v>
          </cell>
          <cell r="F764">
            <v>3.539043203525283E-4</v>
          </cell>
          <cell r="G764">
            <v>9.0271723192689116E-3</v>
          </cell>
          <cell r="H764">
            <v>1.5912083709659953E-2</v>
          </cell>
          <cell r="I764">
            <v>1.2525800119407217E-2</v>
          </cell>
        </row>
        <row r="765">
          <cell r="A765" t="str">
            <v>D-T-ELC-TW_Bat_S4</v>
          </cell>
          <cell r="B765" t="str">
            <v>VAR_fin</v>
          </cell>
          <cell r="C765" t="str">
            <v>TELC</v>
          </cell>
          <cell r="D765">
            <v>1.5214057784205151E-4</v>
          </cell>
          <cell r="E765">
            <v>2.7686389660593448E-4</v>
          </cell>
          <cell r="F765">
            <v>3.539043203525283E-4</v>
          </cell>
          <cell r="G765">
            <v>9.0271723192689116E-3</v>
          </cell>
          <cell r="H765">
            <v>1.5912083709659953E-2</v>
          </cell>
          <cell r="I765">
            <v>1.2525800119407217E-2</v>
          </cell>
        </row>
        <row r="766">
          <cell r="A766" t="str">
            <v>D-T-ELC-TW_Bat_S4</v>
          </cell>
          <cell r="B766" t="str">
            <v>VAR_ncap</v>
          </cell>
          <cell r="C766" t="str">
            <v>-</v>
          </cell>
          <cell r="D766">
            <v>3.3095304729912202E-4</v>
          </cell>
          <cell r="E766">
            <v>2.0921165501291801E-6</v>
          </cell>
          <cell r="F766">
            <v>4.7839093838400999E-6</v>
          </cell>
          <cell r="G766">
            <v>6.1923795285007198E-4</v>
          </cell>
          <cell r="H766">
            <v>1.34194618940132E-5</v>
          </cell>
          <cell r="I766">
            <v>1.58236963541708E-4</v>
          </cell>
        </row>
        <row r="767">
          <cell r="A767" t="str">
            <v>D-T-ELC-TW_Bat_S4</v>
          </cell>
          <cell r="B767" t="str">
            <v>VAR_cap</v>
          </cell>
          <cell r="C767" t="str">
            <v>-</v>
          </cell>
          <cell r="D767">
            <v>3.3095304729912202E-4</v>
          </cell>
          <cell r="E767">
            <v>3.33045163849252E-4</v>
          </cell>
          <cell r="F767">
            <v>3.37829073233092E-4</v>
          </cell>
          <cell r="G767">
            <v>9.5706702608316398E-4</v>
          </cell>
          <cell r="H767">
            <v>1.69074863303466E-3</v>
          </cell>
          <cell r="I767">
            <v>1.32796328029569E-3</v>
          </cell>
        </row>
        <row r="768">
          <cell r="A768" t="str">
            <v>T_B_u-ICENGA-S1</v>
          </cell>
          <cell r="B768" t="str">
            <v>VAR_fout</v>
          </cell>
          <cell r="C768" t="str">
            <v>CO2_T</v>
          </cell>
          <cell r="E768">
            <v>5.7603309046111396E-3</v>
          </cell>
          <cell r="F768">
            <v>5.9869702225117061E-2</v>
          </cell>
          <cell r="G768">
            <v>2.275351471987634E-3</v>
          </cell>
          <cell r="H768">
            <v>2.4895794044402413E-3</v>
          </cell>
          <cell r="I768">
            <v>1.3632242856886569E-3</v>
          </cell>
        </row>
        <row r="769">
          <cell r="A769" t="str">
            <v>T_B_u-ICENGA-S1</v>
          </cell>
          <cell r="B769" t="str">
            <v>VAR_fout</v>
          </cell>
          <cell r="C769" t="str">
            <v>TPBSu</v>
          </cell>
          <cell r="E769">
            <v>1.2280281930867323E-5</v>
          </cell>
          <cell r="F769">
            <v>1.3378821031109718E-4</v>
          </cell>
          <cell r="G769">
            <v>5.2585083198168793E-6</v>
          </cell>
          <cell r="H769">
            <v>6.6161072658413659E-6</v>
          </cell>
          <cell r="I769">
            <v>3.9563900579702955E-6</v>
          </cell>
        </row>
        <row r="770">
          <cell r="A770" t="str">
            <v>T_B_u-ICENGA-S1</v>
          </cell>
          <cell r="B770" t="str">
            <v>VAR_fin</v>
          </cell>
          <cell r="C770" t="str">
            <v>TNGA</v>
          </cell>
          <cell r="E770">
            <v>1.0213352667750252E-4</v>
          </cell>
          <cell r="F770">
            <v>1.0615195429985293E-3</v>
          </cell>
          <cell r="G770">
            <v>4.0343111205454503E-5</v>
          </cell>
          <cell r="H770">
            <v>4.4141478802131992E-5</v>
          </cell>
          <cell r="I770">
            <v>2.4170643363274043E-5</v>
          </cell>
        </row>
        <row r="771">
          <cell r="A771" t="str">
            <v>T_B_u-ICENGA-S1</v>
          </cell>
          <cell r="B771" t="str">
            <v>VAR_ncap</v>
          </cell>
          <cell r="C771" t="str">
            <v>-</v>
          </cell>
          <cell r="E771">
            <v>3.1434207582249599E-7</v>
          </cell>
          <cell r="F771">
            <v>2.3776715601143701E-6</v>
          </cell>
          <cell r="G771">
            <v>6.5043574119518202E-8</v>
          </cell>
          <cell r="H771">
            <v>9.3292405064932896E-8</v>
          </cell>
          <cell r="I771">
            <v>8.8897465529908296E-8</v>
          </cell>
        </row>
        <row r="772">
          <cell r="A772" t="str">
            <v>T_B_u-ICENGA-S1</v>
          </cell>
          <cell r="B772" t="str">
            <v>VAR_cap</v>
          </cell>
          <cell r="C772" t="str">
            <v>-</v>
          </cell>
          <cell r="E772">
            <v>3.1434207582249599E-7</v>
          </cell>
          <cell r="F772">
            <v>2.6920136359368699E-6</v>
          </cell>
          <cell r="G772">
            <v>1.4177699511412006E-7</v>
          </cell>
          <cell r="H772">
            <v>1.6495982074121E-7</v>
          </cell>
          <cell r="I772">
            <v>1.4623917531068699E-7</v>
          </cell>
        </row>
        <row r="773">
          <cell r="A773" t="str">
            <v>T_B_u-ICENGA-S2</v>
          </cell>
          <cell r="B773" t="str">
            <v>VAR_fout</v>
          </cell>
          <cell r="C773" t="str">
            <v>CO2_T</v>
          </cell>
          <cell r="E773">
            <v>2.5469222584133802E-3</v>
          </cell>
          <cell r="F773">
            <v>0.12729024726312485</v>
          </cell>
          <cell r="G773">
            <v>1.9936863562504967E-3</v>
          </cell>
          <cell r="H773">
            <v>1.7828917851633284E-3</v>
          </cell>
          <cell r="I773">
            <v>4.2547048287099597E-5</v>
          </cell>
        </row>
        <row r="774">
          <cell r="A774" t="str">
            <v>T_B_u-ICENGA-S2</v>
          </cell>
          <cell r="B774" t="str">
            <v>VAR_fout</v>
          </cell>
          <cell r="C774" t="str">
            <v>TPBSu</v>
          </cell>
          <cell r="E774">
            <v>3.838359792228639E-6</v>
          </cell>
          <cell r="F774">
            <v>2.0145965118827124E-4</v>
          </cell>
          <cell r="G774">
            <v>3.2174820607228425E-6</v>
          </cell>
          <cell r="H774">
            <v>3.2990351116551208E-6</v>
          </cell>
          <cell r="I774">
            <v>8.8272121753963905E-8</v>
          </cell>
        </row>
        <row r="775">
          <cell r="A775" t="str">
            <v>T_B_u-ICENGA-S2</v>
          </cell>
          <cell r="B775" t="str">
            <v>VAR_fin</v>
          </cell>
          <cell r="C775" t="str">
            <v>TNGA</v>
          </cell>
          <cell r="E775">
            <v>4.515819607115915E-5</v>
          </cell>
          <cell r="F775">
            <v>2.2569192777149721E-3</v>
          </cell>
          <cell r="G775">
            <v>3.5349048869689636E-5</v>
          </cell>
          <cell r="H775">
            <v>3.1611556474527143E-5</v>
          </cell>
          <cell r="I775">
            <v>7.5438028877836229E-7</v>
          </cell>
        </row>
        <row r="776">
          <cell r="A776" t="str">
            <v>T_B_u-ICENGA-S2</v>
          </cell>
          <cell r="B776" t="str">
            <v>VAR_ncap</v>
          </cell>
          <cell r="C776" t="str">
            <v>-</v>
          </cell>
          <cell r="E776">
            <v>1.0930686742330801E-7</v>
          </cell>
          <cell r="F776">
            <v>3.6844628015604001E-6</v>
          </cell>
          <cell r="G776">
            <v>2.7924625326822501E-8</v>
          </cell>
          <cell r="H776">
            <v>3.46940574676143E-8</v>
          </cell>
          <cell r="I776">
            <v>2.8096598663969799E-8</v>
          </cell>
        </row>
        <row r="777">
          <cell r="A777" t="str">
            <v>T_B_u-ICENGA-S2</v>
          </cell>
          <cell r="B777" t="str">
            <v>VAR_cap</v>
          </cell>
          <cell r="C777" t="str">
            <v>-</v>
          </cell>
          <cell r="E777">
            <v>1.0930686742330801E-7</v>
          </cell>
          <cell r="F777">
            <v>3.7937696689837098E-6</v>
          </cell>
          <cell r="G777">
            <v>7.2459134759619925E-8</v>
          </cell>
          <cell r="H777">
            <v>6.5208348271303702E-8</v>
          </cell>
          <cell r="I777">
            <v>4.9982785384798703E-8</v>
          </cell>
        </row>
        <row r="778">
          <cell r="A778" t="str">
            <v>T_B_c-ICEDSLEXT</v>
          </cell>
          <cell r="B778" t="str">
            <v>VAR_fout</v>
          </cell>
          <cell r="C778" t="str">
            <v>CO2_T</v>
          </cell>
          <cell r="D778">
            <v>0.44178176969886701</v>
          </cell>
          <cell r="E778">
            <v>0.44084263887752001</v>
          </cell>
          <cell r="F778">
            <v>0.43764377589721198</v>
          </cell>
        </row>
        <row r="779">
          <cell r="A779" t="str">
            <v>T_B_c-ICEDSLEXT</v>
          </cell>
          <cell r="B779" t="str">
            <v>VAR_fout</v>
          </cell>
          <cell r="C779" t="str">
            <v>TPBSc</v>
          </cell>
          <cell r="D779">
            <v>5.9970516707628804E-2</v>
          </cell>
          <cell r="E779">
            <v>4.7991865681260876E-2</v>
          </cell>
          <cell r="F779">
            <v>2.9995866989932674E-2</v>
          </cell>
        </row>
        <row r="780">
          <cell r="A780" t="str">
            <v>T_B_c-ICEDSLEXT</v>
          </cell>
          <cell r="B780" t="str">
            <v>VAR_fin</v>
          </cell>
          <cell r="C780" t="str">
            <v>TDSL</v>
          </cell>
          <cell r="D780">
            <v>6.0270364215397982E-3</v>
          </cell>
          <cell r="E780">
            <v>6.0142242684518418E-3</v>
          </cell>
          <cell r="F780">
            <v>5.9705835729496875E-3</v>
          </cell>
        </row>
        <row r="781">
          <cell r="A781" t="str">
            <v>T_B_c-ICEDSLEXT</v>
          </cell>
          <cell r="B781" t="str">
            <v>VAR_cap</v>
          </cell>
          <cell r="C781" t="str">
            <v>-</v>
          </cell>
          <cell r="D781">
            <v>1.30332047521267E-3</v>
          </cell>
          <cell r="E781">
            <v>1.04265638017014E-3</v>
          </cell>
          <cell r="F781">
            <v>6.5163525489079913E-4</v>
          </cell>
        </row>
        <row r="782">
          <cell r="A782" t="str">
            <v>T_B_u-ICENGA-S3</v>
          </cell>
          <cell r="B782" t="str">
            <v>VAR_fout</v>
          </cell>
          <cell r="C782" t="str">
            <v>CO2_T</v>
          </cell>
          <cell r="E782">
            <v>2.5178085786193298E-3</v>
          </cell>
          <cell r="F782">
            <v>1.2035553119810245</v>
          </cell>
          <cell r="G782">
            <v>7.8299104595133812E-3</v>
          </cell>
          <cell r="H782">
            <v>3.24297647197214E-3</v>
          </cell>
        </row>
        <row r="783">
          <cell r="A783" t="str">
            <v>T_B_u-ICENGA-S3</v>
          </cell>
          <cell r="B783" t="str">
            <v>VAR_fout</v>
          </cell>
          <cell r="C783" t="str">
            <v>TPBSu</v>
          </cell>
          <cell r="E783">
            <v>2.5187966605089996E-6</v>
          </cell>
          <cell r="F783">
            <v>1.2663954786611381E-3</v>
          </cell>
          <cell r="G783">
            <v>8.3363368651956514E-6</v>
          </cell>
          <cell r="H783">
            <v>3.9762632806609044E-6</v>
          </cell>
        </row>
        <row r="784">
          <cell r="A784" t="str">
            <v>T_B_u-ICENGA-S3</v>
          </cell>
          <cell r="B784" t="str">
            <v>VAR_fin</v>
          </cell>
          <cell r="C784" t="str">
            <v>TNGA</v>
          </cell>
          <cell r="E784">
            <v>4.4641996074810776E-5</v>
          </cell>
          <cell r="F784">
            <v>2.1339633191152872E-2</v>
          </cell>
          <cell r="G784">
            <v>1.3882819963676208E-4</v>
          </cell>
          <cell r="H784">
            <v>5.749958283638543E-5</v>
          </cell>
        </row>
        <row r="785">
          <cell r="A785" t="str">
            <v>T_B_u-ICENGA-S3</v>
          </cell>
          <cell r="B785" t="str">
            <v>VAR_ncap</v>
          </cell>
          <cell r="C785" t="str">
            <v>-</v>
          </cell>
          <cell r="E785">
            <v>4.7101235372120101E-8</v>
          </cell>
          <cell r="F785">
            <v>2.37578386994093E-5</v>
          </cell>
          <cell r="G785">
            <v>1.20383280804881E-8</v>
          </cell>
        </row>
        <row r="786">
          <cell r="A786" t="str">
            <v>T_B_u-ICENGA-S3</v>
          </cell>
          <cell r="B786" t="str">
            <v>VAR_cap</v>
          </cell>
          <cell r="C786" t="str">
            <v>-</v>
          </cell>
          <cell r="E786">
            <v>4.7101235372120101E-8</v>
          </cell>
          <cell r="F786">
            <v>2.3804939934781501E-5</v>
          </cell>
          <cell r="G786">
            <v>4.3774772491100253E-8</v>
          </cell>
          <cell r="H786">
            <v>-1.6836143675158397E-8</v>
          </cell>
          <cell r="I786">
            <v>-7.7372861738422101E-9</v>
          </cell>
        </row>
        <row r="787">
          <cell r="A787" t="str">
            <v>T_B_u-ICENGA-S4</v>
          </cell>
          <cell r="B787" t="str">
            <v>VAR_fout</v>
          </cell>
          <cell r="C787" t="str">
            <v>CO2_T</v>
          </cell>
          <cell r="F787">
            <v>6.6765580240453794E-3</v>
          </cell>
          <cell r="G787">
            <v>1.2331423201063701E-4</v>
          </cell>
          <cell r="H787">
            <v>1.8069118316377769E-3</v>
          </cell>
        </row>
        <row r="788">
          <cell r="A788" t="str">
            <v>T_B_u-ICENGA-S4</v>
          </cell>
          <cell r="B788" t="str">
            <v>VAR_fout</v>
          </cell>
          <cell r="C788" t="str">
            <v>TPBSu</v>
          </cell>
          <cell r="F788">
            <v>4.6249100691621166E-6</v>
          </cell>
          <cell r="G788">
            <v>8.2404424544002097E-8</v>
          </cell>
          <cell r="H788">
            <v>1.4864499669163815E-6</v>
          </cell>
        </row>
        <row r="789">
          <cell r="A789" t="str">
            <v>T_B_u-ICENGA-S4</v>
          </cell>
          <cell r="B789" t="str">
            <v>VAR_fin</v>
          </cell>
          <cell r="C789" t="str">
            <v>TNGA</v>
          </cell>
          <cell r="F789">
            <v>1.1837868836959895E-4</v>
          </cell>
          <cell r="G789">
            <v>2.1864225533800924E-6</v>
          </cell>
          <cell r="H789">
            <v>3.2037443823364845E-5</v>
          </cell>
        </row>
        <row r="790">
          <cell r="A790" t="str">
            <v>T_B_u-ICENGA-S4</v>
          </cell>
          <cell r="B790" t="str">
            <v>VAR_ncap</v>
          </cell>
          <cell r="C790" t="str">
            <v>-</v>
          </cell>
          <cell r="E790">
            <v>1.66471706975088E-8</v>
          </cell>
          <cell r="F790">
            <v>4.1632035308836901E-8</v>
          </cell>
        </row>
        <row r="791">
          <cell r="A791" t="str">
            <v>T_B_u-ICENGA-S4</v>
          </cell>
          <cell r="B791" t="str">
            <v>VAR_cap</v>
          </cell>
          <cell r="C791" t="str">
            <v>-</v>
          </cell>
          <cell r="E791">
            <v>1.66471706975088E-8</v>
          </cell>
          <cell r="F791">
            <v>5.82792060063458E-8</v>
          </cell>
          <cell r="G791">
            <v>9.4517209378762987E-9</v>
          </cell>
          <cell r="H791">
            <v>-3.1989134758453702E-8</v>
          </cell>
          <cell r="I791">
            <v>-8.6920195431165204E-9</v>
          </cell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>
        <row r="9">
          <cell r="B9">
            <v>18.873311793466101</v>
          </cell>
          <cell r="C9">
            <v>21.778784115160573</v>
          </cell>
          <cell r="D9">
            <v>33.931402076448762</v>
          </cell>
          <cell r="E9">
            <v>58.66907607132292</v>
          </cell>
          <cell r="F9">
            <v>92.015344714644669</v>
          </cell>
          <cell r="G9">
            <v>93.623478803817491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3.0282377705697998</v>
          </cell>
          <cell r="G28">
            <v>6.050609652151496</v>
          </cell>
        </row>
      </sheetData>
      <sheetData sheetId="31"/>
      <sheetData sheetId="32"/>
      <sheetData sheetId="33">
        <row r="14">
          <cell r="B14">
            <v>82.760011899668271</v>
          </cell>
          <cell r="C14">
            <v>82.759930071132032</v>
          </cell>
          <cell r="D14">
            <v>58.251095614920708</v>
          </cell>
          <cell r="E14">
            <v>61.801725554688808</v>
          </cell>
          <cell r="F14">
            <v>32.820807094630482</v>
          </cell>
          <cell r="G14">
            <v>0</v>
          </cell>
        </row>
        <row r="15">
          <cell r="B15">
            <v>66.745680641565826</v>
          </cell>
          <cell r="C15">
            <v>49.798798233586048</v>
          </cell>
          <cell r="D15">
            <v>68.746652836090433</v>
          </cell>
          <cell r="E15">
            <v>69.707980460873983</v>
          </cell>
          <cell r="F15">
            <v>72.137441602012373</v>
          </cell>
          <cell r="G15">
            <v>68.851436972761888</v>
          </cell>
        </row>
        <row r="16">
          <cell r="B16">
            <v>66.632408674137309</v>
          </cell>
          <cell r="C16">
            <v>55.764006095374093</v>
          </cell>
          <cell r="D16">
            <v>65.562601078116302</v>
          </cell>
          <cell r="E16">
            <v>64.934024586346183</v>
          </cell>
          <cell r="F16">
            <v>63.848999302683723</v>
          </cell>
          <cell r="G16">
            <v>67.134993866464811</v>
          </cell>
        </row>
        <row r="17">
          <cell r="B17">
            <v>12.841927396405056</v>
          </cell>
          <cell r="C17">
            <v>16.037031473142612</v>
          </cell>
          <cell r="D17">
            <v>5.6213263481187754</v>
          </cell>
          <cell r="E17">
            <v>44.725101291212937</v>
          </cell>
          <cell r="F17">
            <v>12.877622623574632</v>
          </cell>
          <cell r="G17">
            <v>13.233613754222093</v>
          </cell>
        </row>
        <row r="18">
          <cell r="B18">
            <v>3.9608215514177994E-2</v>
          </cell>
          <cell r="C18">
            <v>1.1522867499099062E-4</v>
          </cell>
          <cell r="D18">
            <v>0.16148125974284119</v>
          </cell>
          <cell r="E18">
            <v>2.3439042715059366E-4</v>
          </cell>
          <cell r="F18">
            <v>2.411512458259251E-4</v>
          </cell>
          <cell r="G18">
            <v>6.0332779225078991E-5</v>
          </cell>
        </row>
        <row r="19">
          <cell r="B19">
            <v>6.5070024678129039</v>
          </cell>
          <cell r="C19">
            <v>7.3027680641265373</v>
          </cell>
          <cell r="D19">
            <v>8.1987449780166877</v>
          </cell>
          <cell r="E19">
            <v>7.3981391097910283</v>
          </cell>
          <cell r="F19">
            <v>7.7443909415744345</v>
          </cell>
          <cell r="G19">
            <v>4.6999721520593658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3.1756815315912552E-4</v>
          </cell>
          <cell r="G20">
            <v>4.4885644260039532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9.3539846767742591E-4</v>
          </cell>
          <cell r="G21">
            <v>6.9485621611263867E-3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3.7380064939031141E-4</v>
          </cell>
          <cell r="F22">
            <v>3.4059517657987265E-4</v>
          </cell>
          <cell r="G22">
            <v>3.0087035106431527E-4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4.0649404716169038E-4</v>
          </cell>
          <cell r="G23">
            <v>0.68356777617177633</v>
          </cell>
        </row>
        <row r="24">
          <cell r="B24">
            <v>0.96588767049683366</v>
          </cell>
          <cell r="C24">
            <v>5.1458421555286929E-4</v>
          </cell>
          <cell r="D24">
            <v>1.8944422084999194E-2</v>
          </cell>
          <cell r="E24">
            <v>5.9940706458999063E-4</v>
          </cell>
          <cell r="F24">
            <v>6.2235761800812745E-4</v>
          </cell>
          <cell r="G24">
            <v>5.5872716781647582E-5</v>
          </cell>
        </row>
        <row r="25">
          <cell r="B25">
            <v>1.9411998127158161E-3</v>
          </cell>
          <cell r="C25">
            <v>1.0478758982727224E-2</v>
          </cell>
          <cell r="D25">
            <v>1.2218396201928796E-3</v>
          </cell>
          <cell r="E25">
            <v>0.75922865394565064</v>
          </cell>
          <cell r="F25">
            <v>1.3158631086747894</v>
          </cell>
          <cell r="G25">
            <v>1.5410259247476494</v>
          </cell>
        </row>
        <row r="26">
          <cell r="B26">
            <v>1.547551296016459</v>
          </cell>
          <cell r="C26">
            <v>1.4243011341892955</v>
          </cell>
          <cell r="D26">
            <v>1.3364133501741997</v>
          </cell>
          <cell r="E26">
            <v>1.4145528989682306</v>
          </cell>
          <cell r="F26">
            <v>1.2971308418011731</v>
          </cell>
          <cell r="G26">
            <v>0.50746591146531517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4.6735729888746555E-5</v>
          </cell>
          <cell r="G27">
            <v>0.71887070634310557</v>
          </cell>
        </row>
        <row r="28">
          <cell r="B28">
            <v>1.8077346073840815E-3</v>
          </cell>
          <cell r="C28">
            <v>1.052227942691807E-4</v>
          </cell>
          <cell r="D28">
            <v>5.3776362901896118E-3</v>
          </cell>
          <cell r="E28">
            <v>1.1781653558389082E-4</v>
          </cell>
          <cell r="F28">
            <v>1.0184689855820115E-4</v>
          </cell>
          <cell r="G28">
            <v>1.0401975309878769E-5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0.29386556210499926</v>
          </cell>
          <cell r="G29">
            <v>1.2502011015444261E-4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9.7967339621026438E-4</v>
          </cell>
          <cell r="G30">
            <v>9.787003945602201E-4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1.0061863976424751E-4</v>
          </cell>
          <cell r="G31">
            <v>0.68492411603039793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>
            <v>0.52400000000000047</v>
          </cell>
          <cell r="C33">
            <v>0.54529209756443131</v>
          </cell>
          <cell r="D33">
            <v>0.50316469589798096</v>
          </cell>
          <cell r="E33">
            <v>2.0502663602651547</v>
          </cell>
          <cell r="F33">
            <v>3.5228363211480631</v>
          </cell>
          <cell r="G33">
            <v>6.1200051522369954</v>
          </cell>
        </row>
        <row r="34">
          <cell r="B34">
            <v>0</v>
          </cell>
          <cell r="C34">
            <v>0</v>
          </cell>
          <cell r="D34">
            <v>0.14080689302850102</v>
          </cell>
          <cell r="E34">
            <v>0.15585329636757111</v>
          </cell>
          <cell r="F34">
            <v>0.15597322808705263</v>
          </cell>
          <cell r="G34">
            <v>4.6466849075390056E-3</v>
          </cell>
        </row>
        <row r="35">
          <cell r="B35">
            <v>3.517953999707534</v>
          </cell>
          <cell r="C35">
            <v>4.8498359217769194</v>
          </cell>
          <cell r="D35">
            <v>11.161630214496073</v>
          </cell>
          <cell r="E35">
            <v>12.110625333412253</v>
          </cell>
          <cell r="F35">
            <v>40.834311249537762</v>
          </cell>
          <cell r="G35">
            <v>64.334036103003498</v>
          </cell>
        </row>
        <row r="36">
          <cell r="B36">
            <v>2.1349390887346629</v>
          </cell>
          <cell r="C36">
            <v>3.3907042789842552</v>
          </cell>
          <cell r="D36">
            <v>4.0456848107446861</v>
          </cell>
          <cell r="E36">
            <v>4.3498490911948107</v>
          </cell>
          <cell r="F36">
            <v>1.5546053673584794</v>
          </cell>
          <cell r="G36">
            <v>1.7549015798769052E-2</v>
          </cell>
        </row>
        <row r="37">
          <cell r="B37">
            <v>0.86248322578584768</v>
          </cell>
          <cell r="C37">
            <v>1.2876259229214706</v>
          </cell>
          <cell r="D37">
            <v>3.4857293140469885</v>
          </cell>
          <cell r="E37">
            <v>3.8173603702351038</v>
          </cell>
          <cell r="F37">
            <v>4.2168105430355673</v>
          </cell>
          <cell r="G37">
            <v>4.6580656474394679</v>
          </cell>
        </row>
        <row r="38">
          <cell r="B38">
            <v>2.8396236857719668</v>
          </cell>
          <cell r="C38">
            <v>3.2944552202001307</v>
          </cell>
          <cell r="D38">
            <v>9.9661619519556197</v>
          </cell>
          <cell r="E38">
            <v>10.737245362561856</v>
          </cell>
          <cell r="F38">
            <v>13.898311195948592</v>
          </cell>
          <cell r="G38">
            <v>20.985711386197028</v>
          </cell>
        </row>
        <row r="39">
          <cell r="B39">
            <v>0.6700127087044967</v>
          </cell>
          <cell r="C39">
            <v>0.51810653251779359</v>
          </cell>
          <cell r="D39">
            <v>5.241529872141272E-2</v>
          </cell>
          <cell r="E39">
            <v>2.474696725184317E-2</v>
          </cell>
          <cell r="F39">
            <v>5.4499546885389246E-3</v>
          </cell>
          <cell r="G39">
            <v>7.928332657922587E-4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3.0889310978946178E-4</v>
          </cell>
          <cell r="G40">
            <v>5.1962936937585593E-4</v>
          </cell>
        </row>
        <row r="41">
          <cell r="B41">
            <v>7.0520133789709963E-2</v>
          </cell>
          <cell r="C41">
            <v>0.17131860386164463</v>
          </cell>
          <cell r="D41">
            <v>4.6091259942489509E-3</v>
          </cell>
          <cell r="E41">
            <v>0.14042216374001643</v>
          </cell>
          <cell r="F41">
            <v>5.737172037489196E-4</v>
          </cell>
          <cell r="G41">
            <v>1.2461182953064172E-4</v>
          </cell>
        </row>
        <row r="42">
          <cell r="B42">
            <v>0.17248292666379383</v>
          </cell>
          <cell r="C42">
            <v>0.16392353953752159</v>
          </cell>
          <cell r="D42">
            <v>1.1403751239746929</v>
          </cell>
          <cell r="E42">
            <v>2.3832585764725023</v>
          </cell>
          <cell r="F42">
            <v>2.5327667337217505</v>
          </cell>
          <cell r="G42">
            <v>1.62035662214599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0.94520265189997255</v>
          </cell>
          <cell r="G43">
            <v>2.2897062737894243</v>
          </cell>
        </row>
        <row r="44">
          <cell r="B44">
            <v>0.23005986536843293</v>
          </cell>
          <cell r="C44">
            <v>0.23016315476927521</v>
          </cell>
          <cell r="D44">
            <v>0.33670952769483437</v>
          </cell>
          <cell r="E44">
            <v>0.33295024456692901</v>
          </cell>
          <cell r="F44">
            <v>0.33078828712489111</v>
          </cell>
          <cell r="G44">
            <v>7.3087125280484107E-5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2.7458636478782345E-5</v>
          </cell>
          <cell r="G45">
            <v>0.59883911058233219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4.7632141981560029E-3</v>
          </cell>
          <cell r="G46">
            <v>3.8255254571679922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1.0210154553829719E-3</v>
          </cell>
          <cell r="G47">
            <v>1.4569860049588801E-3</v>
          </cell>
        </row>
        <row r="48">
          <cell r="B48">
            <v>1.715132581415562E-2</v>
          </cell>
          <cell r="C48">
            <v>1.7239795461515446E-3</v>
          </cell>
          <cell r="D48">
            <v>6.4970664502769088E-3</v>
          </cell>
          <cell r="E48">
            <v>8.4380071897826123E-3</v>
          </cell>
          <cell r="F48">
            <v>5.0276536825227328E-3</v>
          </cell>
          <cell r="G48">
            <v>1.1425686057431697E-4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7.8924377293424072E-4</v>
          </cell>
          <cell r="F49">
            <v>1.8663104313667354E-3</v>
          </cell>
          <cell r="G49">
            <v>2.5532243921720242E-4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9.7060689256429856E-4</v>
          </cell>
          <cell r="F50">
            <v>6.0904831999213853E-4</v>
          </cell>
          <cell r="G50">
            <v>7.4394968832237581E-4</v>
          </cell>
        </row>
        <row r="51">
          <cell r="B51">
            <v>2.8769941393638056E-2</v>
          </cell>
          <cell r="C51">
            <v>1.6542837370202798E-3</v>
          </cell>
          <cell r="D51">
            <v>1.3297579952732272E-2</v>
          </cell>
          <cell r="E51">
            <v>1.7124247416835101</v>
          </cell>
          <cell r="F51">
            <v>1.0902875947710335</v>
          </cell>
          <cell r="G51">
            <v>1.2839787926075268E-4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4.2945607970719651E-3</v>
          </cell>
          <cell r="F52">
            <v>1.1111445258254049</v>
          </cell>
          <cell r="G52">
            <v>3.0251124112910935E-4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1.4780755243463473E-3</v>
          </cell>
          <cell r="F53">
            <v>8.8540065792126993E-4</v>
          </cell>
          <cell r="G53">
            <v>1.5411136893785156E-3</v>
          </cell>
        </row>
        <row r="54">
          <cell r="B54">
            <v>0.95939035024882946</v>
          </cell>
          <cell r="C54">
            <v>1.1059592127764419</v>
          </cell>
          <cell r="D54">
            <v>1.1588636783186652</v>
          </cell>
          <cell r="E54">
            <v>1.1588695642950515</v>
          </cell>
          <cell r="F54">
            <v>2.896658452359731</v>
          </cell>
          <cell r="G54">
            <v>3.8404860371326976</v>
          </cell>
        </row>
        <row r="55">
          <cell r="B55">
            <v>0.59442841007057878</v>
          </cell>
          <cell r="C55">
            <v>0.62589322174076079</v>
          </cell>
          <cell r="D55">
            <v>9.0051710877723304E-3</v>
          </cell>
          <cell r="E55">
            <v>6.0347132375950553E-3</v>
          </cell>
          <cell r="F55">
            <v>2.7693205839182119E-4</v>
          </cell>
          <cell r="G55">
            <v>2.4401073656338268E-4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4.8544919505239215E-4</v>
          </cell>
          <cell r="F56">
            <v>2.4517880376781622E-4</v>
          </cell>
          <cell r="G56">
            <v>1.8637775957111846E-3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3.5386253340068384E-3</v>
          </cell>
          <cell r="F57">
            <v>8.3872688007651452E-4</v>
          </cell>
          <cell r="G57">
            <v>3.3787907542945597E-2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7.7055585741986463E-4</v>
          </cell>
          <cell r="F58">
            <v>2.8028309233131161E-3</v>
          </cell>
          <cell r="G58">
            <v>4.1590232502750481E-4</v>
          </cell>
        </row>
        <row r="70">
          <cell r="B70">
            <v>9.4659995648324266E-2</v>
          </cell>
          <cell r="C70">
            <v>1.1465330447429145E-2</v>
          </cell>
          <cell r="D70">
            <v>9.4440493731399885E-2</v>
          </cell>
          <cell r="E70">
            <v>9.4498602622760941E-2</v>
          </cell>
          <cell r="F70">
            <v>1.9796879916533379E-4</v>
          </cell>
          <cell r="G70">
            <v>7.2288634889373099E-5</v>
          </cell>
        </row>
        <row r="71">
          <cell r="B71">
            <v>8.2496245515616667E-3</v>
          </cell>
          <cell r="C71">
            <v>6.7170810476567056E-3</v>
          </cell>
          <cell r="D71">
            <v>8.1543007788441764E-3</v>
          </cell>
          <cell r="E71">
            <v>4.8945173381190355E-3</v>
          </cell>
          <cell r="F71">
            <v>4.8969097659168383E-3</v>
          </cell>
          <cell r="G71">
            <v>3.7882263851059965E-2</v>
          </cell>
        </row>
        <row r="72">
          <cell r="B72">
            <v>8.406279389629203E-3</v>
          </cell>
          <cell r="C72">
            <v>6.499318455307778E-3</v>
          </cell>
          <cell r="D72">
            <v>8.2160486577868078E-3</v>
          </cell>
          <cell r="E72">
            <v>8.9892032405256735E-3</v>
          </cell>
          <cell r="F72">
            <v>3.0367167908718247E-3</v>
          </cell>
          <cell r="G72">
            <v>9.9488832572385721E-2</v>
          </cell>
        </row>
        <row r="73">
          <cell r="B73">
            <v>2.6917801845884721E-3</v>
          </cell>
          <cell r="C73">
            <v>2.667697969716751E-3</v>
          </cell>
          <cell r="D73">
            <v>2.6840149106809588E-3</v>
          </cell>
          <cell r="E73">
            <v>4.7297116096214509E-2</v>
          </cell>
          <cell r="F73">
            <v>3.5961326726906052E-3</v>
          </cell>
          <cell r="G73">
            <v>1.3961091859962414E-2</v>
          </cell>
        </row>
        <row r="74">
          <cell r="B74">
            <v>5.3960354982248325E-3</v>
          </cell>
          <cell r="C74">
            <v>5.3484684012797207E-3</v>
          </cell>
          <cell r="D74">
            <v>5.3791778248783043E-3</v>
          </cell>
          <cell r="E74">
            <v>7.0643926727311318E-2</v>
          </cell>
          <cell r="F74">
            <v>4.6797899261484619E-3</v>
          </cell>
          <cell r="G74">
            <v>4.5953286885823882E-2</v>
          </cell>
        </row>
        <row r="75">
          <cell r="B75">
            <v>5.3947401779936219E-3</v>
          </cell>
          <cell r="C75">
            <v>5.3472002640916026E-3</v>
          </cell>
          <cell r="D75">
            <v>5.3761723451008717E-3</v>
          </cell>
          <cell r="E75">
            <v>7.1726625616515188E-2</v>
          </cell>
          <cell r="F75">
            <v>4.9134971177031504E-3</v>
          </cell>
          <cell r="G75">
            <v>4.5966957869840327E-2</v>
          </cell>
        </row>
        <row r="76">
          <cell r="B76">
            <v>2.7014784462341015E-3</v>
          </cell>
          <cell r="C76">
            <v>2.6775400669037685E-3</v>
          </cell>
          <cell r="D76">
            <v>2.6937298189186778E-3</v>
          </cell>
          <cell r="E76">
            <v>4.7017507586173631E-2</v>
          </cell>
          <cell r="F76">
            <v>3.763170715458342E-3</v>
          </cell>
          <cell r="G76">
            <v>2.8865125082059892E-2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2.5740021049843294</v>
          </cell>
          <cell r="G90">
            <v>5.1430182043287713</v>
          </cell>
        </row>
        <row r="91">
          <cell r="B91">
            <v>1.8035641430548299</v>
          </cell>
          <cell r="C91">
            <v>9.8880185446797238E-4</v>
          </cell>
          <cell r="D91">
            <v>3.7945606913230699E-2</v>
          </cell>
          <cell r="E91">
            <v>1.2819709486668102E-3</v>
          </cell>
          <cell r="F91">
            <v>1.3167435966335221E-3</v>
          </cell>
          <cell r="G91">
            <v>1.1695427182190813E-4</v>
          </cell>
        </row>
        <row r="92">
          <cell r="B92">
            <v>0.31283474411856238</v>
          </cell>
          <cell r="C92">
            <v>0.27593093402239793</v>
          </cell>
          <cell r="D92">
            <v>0.27867081615758804</v>
          </cell>
          <cell r="E92">
            <v>2.2896143171025343</v>
          </cell>
          <cell r="F92">
            <v>3.7207654758781796</v>
          </cell>
          <cell r="G92">
            <v>4.2817072304127288</v>
          </cell>
        </row>
        <row r="93">
          <cell r="B93">
            <v>14.461287862316796</v>
          </cell>
          <cell r="C93">
            <v>13.051657193241693</v>
          </cell>
          <cell r="D93">
            <v>12.148078391774819</v>
          </cell>
          <cell r="E93">
            <v>12.779646053112169</v>
          </cell>
          <cell r="F93">
            <v>12.155204759872692</v>
          </cell>
          <cell r="G93">
            <v>10.865316470548692</v>
          </cell>
        </row>
        <row r="94">
          <cell r="B94">
            <v>9.2969208379752727E-3</v>
          </cell>
          <cell r="C94">
            <v>5.4114579909864352E-4</v>
          </cell>
          <cell r="D94">
            <v>2.7656415206689405E-2</v>
          </cell>
          <cell r="E94">
            <v>6.0591361157429579E-4</v>
          </cell>
          <cell r="F94">
            <v>5.2378404972789087E-4</v>
          </cell>
          <cell r="G94">
            <v>5.3495873022233568E-5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0.37467859168387402</v>
          </cell>
          <cell r="G95">
            <v>1.6565164595463652E-4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1.1896034096838888E-3</v>
          </cell>
          <cell r="G96">
            <v>1.2350266883736089E-3</v>
          </cell>
        </row>
        <row r="97">
          <cell r="B97">
            <v>1.7329283713788006</v>
          </cell>
          <cell r="C97">
            <v>2.3569453217230709</v>
          </cell>
          <cell r="D97">
            <v>2.3524111692489869</v>
          </cell>
          <cell r="E97">
            <v>5.4947209267584931</v>
          </cell>
          <cell r="F97">
            <v>2.0567668102190648</v>
          </cell>
          <cell r="G97">
            <v>1.3690711400160344E-5</v>
          </cell>
        </row>
        <row r="98">
          <cell r="B98">
            <v>0.90181994839326141</v>
          </cell>
          <cell r="C98">
            <v>0.90178488470359808</v>
          </cell>
          <cell r="D98">
            <v>0.90182443948560775</v>
          </cell>
          <cell r="E98">
            <v>1.2462706548313867</v>
          </cell>
          <cell r="F98">
            <v>1.2462604788609417</v>
          </cell>
          <cell r="G98">
            <v>1.2462448373139736</v>
          </cell>
        </row>
        <row r="99">
          <cell r="B99">
            <v>1.4500617813936036</v>
          </cell>
          <cell r="C99">
            <v>3.8019469359038429</v>
          </cell>
          <cell r="D99">
            <v>3.2982445456783847</v>
          </cell>
          <cell r="E99">
            <v>0.85652859757509403</v>
          </cell>
          <cell r="F99">
            <v>0</v>
          </cell>
          <cell r="G99">
            <v>0</v>
          </cell>
        </row>
        <row r="100">
          <cell r="B100">
            <v>0.18410975696952658</v>
          </cell>
          <cell r="C100">
            <v>0.18580573252624785</v>
          </cell>
          <cell r="D100">
            <v>5.0488874074197743E-3</v>
          </cell>
          <cell r="E100">
            <v>2.8782630984045909E-4</v>
          </cell>
          <cell r="F100">
            <v>7.7038995163725545E-5</v>
          </cell>
          <cell r="G100">
            <v>7.3755182260899318E-6</v>
          </cell>
        </row>
        <row r="101">
          <cell r="B101">
            <v>2.2022598100286581</v>
          </cell>
          <cell r="C101">
            <v>1.9875335625921808</v>
          </cell>
          <cell r="D101">
            <v>1.7040745041874763</v>
          </cell>
          <cell r="E101">
            <v>1.318581997713272</v>
          </cell>
          <cell r="F101">
            <v>0.7894856492918636</v>
          </cell>
          <cell r="G101">
            <v>0.47270377985208351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</row>
        <row r="103">
          <cell r="F103">
            <v>6.522517645443233E-3</v>
          </cell>
          <cell r="G103">
            <v>1.4506165967647622E-3</v>
          </cell>
        </row>
        <row r="104">
          <cell r="B104">
            <v>0.92958358177345157</v>
          </cell>
          <cell r="C104">
            <v>2.0704381554654616</v>
          </cell>
          <cell r="D104">
            <v>4.8121781026068566E-2</v>
          </cell>
          <cell r="E104">
            <v>1.0811480223794336</v>
          </cell>
          <cell r="F104">
            <v>1.2717703787906514E-3</v>
          </cell>
          <cell r="G104">
            <v>2.7622953017343354E-4</v>
          </cell>
        </row>
        <row r="105">
          <cell r="B105">
            <v>0.65964858063183474</v>
          </cell>
          <cell r="C105">
            <v>0.57088332156089117</v>
          </cell>
          <cell r="D105">
            <v>3.386807427138764</v>
          </cell>
          <cell r="E105">
            <v>5.0415085271533826</v>
          </cell>
          <cell r="F105">
            <v>7.3572429311228973</v>
          </cell>
          <cell r="G105">
            <v>8.2712868952480125</v>
          </cell>
        </row>
        <row r="106">
          <cell r="B106">
            <v>1.9349466133405022</v>
          </cell>
          <cell r="C106">
            <v>1.8588123413029469</v>
          </cell>
          <cell r="D106">
            <v>2.5503141907149116</v>
          </cell>
          <cell r="E106">
            <v>2.2433623366317592</v>
          </cell>
          <cell r="F106">
            <v>1.6755946318693233</v>
          </cell>
          <cell r="G106">
            <v>2.0316582820936708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4.5898859920885979E-4</v>
          </cell>
          <cell r="G107">
            <v>5.8790663357989918E-4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2.8579285188936013E-3</v>
          </cell>
          <cell r="G108">
            <v>1.9127627285839968</v>
          </cell>
        </row>
        <row r="109">
          <cell r="B109">
            <v>5.5215458428201067E-2</v>
          </cell>
          <cell r="C109">
            <v>4.4159099157169458E-3</v>
          </cell>
          <cell r="D109">
            <v>3.4853021116122485E-2</v>
          </cell>
          <cell r="E109">
            <v>4.4079928195512499E-2</v>
          </cell>
          <cell r="F109">
            <v>1.5494303189903483E-2</v>
          </cell>
          <cell r="G109">
            <v>2.1717387618249567E-3</v>
          </cell>
        </row>
        <row r="110">
          <cell r="B110">
            <v>1.8332549517670279E-3</v>
          </cell>
          <cell r="C110">
            <v>1.0956245468246458E-3</v>
          </cell>
          <cell r="D110">
            <v>7.6075460574371277E-4</v>
          </cell>
          <cell r="E110">
            <v>5.9510669967715478E-3</v>
          </cell>
          <cell r="F110">
            <v>2.521296522632499E-3</v>
          </cell>
          <cell r="G110">
            <v>3.8043464671236741E-3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</row>
        <row r="112">
          <cell r="B112">
            <v>9.0091970433627905E-2</v>
          </cell>
          <cell r="C112">
            <v>3.7916711986402305E-3</v>
          </cell>
          <cell r="D112">
            <v>5.9772224077481242E-2</v>
          </cell>
          <cell r="E112">
            <v>4.3160751133263293</v>
          </cell>
          <cell r="F112">
            <v>3.4168550580384509</v>
          </cell>
          <cell r="G112">
            <v>2.2863572754899227E-3</v>
          </cell>
        </row>
        <row r="113">
          <cell r="B113">
            <v>1.8948722656225536E-3</v>
          </cell>
          <cell r="C113">
            <v>1.0956387988656792E-3</v>
          </cell>
          <cell r="D113">
            <v>7.6066279858718494E-4</v>
          </cell>
          <cell r="E113">
            <v>7.610387326693599E-3</v>
          </cell>
          <cell r="F113">
            <v>3.328742109896061E-3</v>
          </cell>
          <cell r="G113">
            <v>6.342458080582653E-3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5">
          <cell r="B115">
            <v>1.4243465836941875</v>
          </cell>
          <cell r="C115">
            <v>1.5783459579603825</v>
          </cell>
          <cell r="D115">
            <v>1.5538807132812142</v>
          </cell>
          <cell r="E115">
            <v>1.3872757880190192</v>
          </cell>
          <cell r="F115">
            <v>2.6346580009737188</v>
          </cell>
          <cell r="G115">
            <v>3.4931171319548175</v>
          </cell>
        </row>
        <row r="116">
          <cell r="B116">
            <v>0.69261183781650215</v>
          </cell>
          <cell r="C116">
            <v>0.75023038682846743</v>
          </cell>
          <cell r="D116">
            <v>1.124661928183739E-2</v>
          </cell>
          <cell r="E116">
            <v>8.041776904332703E-3</v>
          </cell>
          <cell r="F116">
            <v>4.1539808758773175E-4</v>
          </cell>
          <cell r="G116">
            <v>3.6608886653123829E-4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7.7582957127537511E-4</v>
          </cell>
          <cell r="F117">
            <v>3.7494749379283208E-4</v>
          </cell>
          <cell r="G117">
            <v>2.7371364321251081E-3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2.3116675722595944E-4</v>
          </cell>
          <cell r="F118">
            <v>8.2706486261698692E-4</v>
          </cell>
          <cell r="G118">
            <v>1.2074583629830786E-4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2.6632811724367268E-3</v>
          </cell>
          <cell r="F119">
            <v>5.2808729486299069E-4</v>
          </cell>
          <cell r="G119">
            <v>1.9097512959056234E-2</v>
          </cell>
        </row>
        <row r="123">
          <cell r="B123">
            <v>0</v>
          </cell>
          <cell r="C123">
            <v>2.9820628701870402</v>
          </cell>
          <cell r="D123">
            <v>3.07242446820878</v>
          </cell>
          <cell r="E123">
            <v>5.9377564455654017</v>
          </cell>
          <cell r="F123">
            <v>6.5589733484519934</v>
          </cell>
          <cell r="G123">
            <v>7.2451825577618036</v>
          </cell>
        </row>
      </sheetData>
      <sheetData sheetId="34">
        <row r="13">
          <cell r="B13">
            <v>16.052414401991513</v>
          </cell>
          <cell r="C13">
            <v>20.04629860698779</v>
          </cell>
          <cell r="D13">
            <v>7.0266629349313163</v>
          </cell>
          <cell r="E13">
            <v>55.906372781274968</v>
          </cell>
          <cell r="F13">
            <v>16.097022018243219</v>
          </cell>
          <cell r="G13">
            <v>16.542012940976548</v>
          </cell>
        </row>
        <row r="14">
          <cell r="B14">
            <v>250.9482674410381</v>
          </cell>
          <cell r="C14">
            <v>253.29990590548022</v>
          </cell>
          <cell r="D14">
            <v>178.90894710635976</v>
          </cell>
          <cell r="E14">
            <v>187.17138378703476</v>
          </cell>
          <cell r="F14">
            <v>98.945520794982556</v>
          </cell>
          <cell r="G14">
            <v>0</v>
          </cell>
        </row>
        <row r="15">
          <cell r="B15">
            <v>66.745680641565826</v>
          </cell>
          <cell r="C15">
            <v>49.798798233586048</v>
          </cell>
          <cell r="D15">
            <v>68.746652836090433</v>
          </cell>
          <cell r="E15">
            <v>69.707980460873983</v>
          </cell>
          <cell r="F15">
            <v>72.137441602012373</v>
          </cell>
          <cell r="G15">
            <v>68.851436972761888</v>
          </cell>
        </row>
        <row r="16">
          <cell r="B16">
            <v>66.632408674137309</v>
          </cell>
          <cell r="C16">
            <v>55.764006095374093</v>
          </cell>
          <cell r="D16">
            <v>65.562601078116302</v>
          </cell>
          <cell r="E16">
            <v>64.934024586346183</v>
          </cell>
          <cell r="F16">
            <v>63.848999302683723</v>
          </cell>
          <cell r="G16">
            <v>67.134993866464811</v>
          </cell>
        </row>
        <row r="18">
          <cell r="B18">
            <v>0.13365062106769465</v>
          </cell>
          <cell r="C18">
            <v>1.5228513044439815</v>
          </cell>
          <cell r="D18">
            <v>0.4738721719493289</v>
          </cell>
          <cell r="E18">
            <v>8.0652268361605271E-4</v>
          </cell>
          <cell r="F18">
            <v>8.1008295650009988E-4</v>
          </cell>
          <cell r="G18">
            <v>2.1164221746329464E-4</v>
          </cell>
        </row>
        <row r="19">
          <cell r="B19">
            <v>18.203597382466217</v>
          </cell>
          <cell r="C19">
            <v>20.429783187338103</v>
          </cell>
          <cell r="D19">
            <v>22.936314126141184</v>
          </cell>
          <cell r="E19">
            <v>20.69658746869635</v>
          </cell>
          <cell r="F19">
            <v>21.665240695724457</v>
          </cell>
          <cell r="G19">
            <v>13.148358432027582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9.4879052808116823E-4</v>
          </cell>
          <cell r="G20">
            <v>13.147424587877781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1.6780739403995312E-3</v>
          </cell>
          <cell r="G21">
            <v>1.1114803915908749E-2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1.0113844827678278E-3</v>
          </cell>
          <cell r="F22">
            <v>9.4997699776080567E-4</v>
          </cell>
          <cell r="G22">
            <v>7.5460947787290341E-4</v>
          </cell>
          <cell r="L22">
            <v>2.5916208367858338</v>
          </cell>
          <cell r="M22">
            <v>1.6291838829136596</v>
          </cell>
          <cell r="N22">
            <v>1.0397819617545272</v>
          </cell>
          <cell r="O22">
            <v>3.0615171067599025</v>
          </cell>
          <cell r="P22">
            <v>1.7338063372848429</v>
          </cell>
          <cell r="Q22">
            <v>4.8126153401729145E-5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8.8471184003567844E-4</v>
          </cell>
          <cell r="G23">
            <v>1.2477168147725484</v>
          </cell>
          <cell r="L23">
            <v>6.8961995013697833E-2</v>
          </cell>
          <cell r="M23">
            <v>3.296250445325416E-2</v>
          </cell>
          <cell r="N23">
            <v>5.2767018481774961E-3</v>
          </cell>
          <cell r="O23">
            <v>0.35282684982678691</v>
          </cell>
          <cell r="P23">
            <v>0.84714162058087517</v>
          </cell>
          <cell r="Q23">
            <v>0.35272482950262363</v>
          </cell>
        </row>
        <row r="24">
          <cell r="B24">
            <v>3.7024231957063347</v>
          </cell>
          <cell r="C24">
            <v>2.5125145176195908E-3</v>
          </cell>
          <cell r="D24">
            <v>0.7317071843152273</v>
          </cell>
          <cell r="E24">
            <v>2.5932712101720051E-3</v>
          </cell>
          <cell r="F24">
            <v>2.5899222634021379E-3</v>
          </cell>
          <cell r="G24">
            <v>2.8325273543633336E-4</v>
          </cell>
        </row>
        <row r="25">
          <cell r="B25">
            <v>8.3686762200846244E-3</v>
          </cell>
          <cell r="C25">
            <v>4.19581818033491E-2</v>
          </cell>
          <cell r="D25">
            <v>5.6651741759594408E-3</v>
          </cell>
          <cell r="E25">
            <v>2.760576826129634</v>
          </cell>
          <cell r="F25">
            <v>3.4707408751220097</v>
          </cell>
          <cell r="G25">
            <v>4.2616052259403796</v>
          </cell>
        </row>
        <row r="26">
          <cell r="B26">
            <v>40.317979022332452</v>
          </cell>
          <cell r="C26">
            <v>38.473241278412495</v>
          </cell>
          <cell r="D26">
            <v>36.326369301509651</v>
          </cell>
          <cell r="E26">
            <v>38.239934663753772</v>
          </cell>
          <cell r="F26">
            <v>27.804376219960588</v>
          </cell>
          <cell r="G26">
            <v>10.835377801983649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9.6875972298203798E-4</v>
          </cell>
          <cell r="G27">
            <v>13.312420487835292</v>
          </cell>
        </row>
        <row r="28">
          <cell r="B28">
            <v>3.0701677654170506E-2</v>
          </cell>
          <cell r="C28">
            <v>1.8130730966870672</v>
          </cell>
          <cell r="D28">
            <v>6.0020357612495051E-2</v>
          </cell>
          <cell r="E28">
            <v>1.1442777947087031E-3</v>
          </cell>
          <cell r="F28">
            <v>9.8816673433124616E-4</v>
          </cell>
          <cell r="G28">
            <v>1.3422726174118897E-4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0.73466390526249825</v>
          </cell>
          <cell r="G29">
            <v>3.1255027538610669E-4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2.3325557052625355E-3</v>
          </cell>
          <cell r="G30">
            <v>2.3302390346671893E-3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9.4120916183936605E-4</v>
          </cell>
          <cell r="G31">
            <v>3.170697049221689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>
            <v>0.52400000000000047</v>
          </cell>
          <cell r="C33">
            <v>0.54529209756443131</v>
          </cell>
          <cell r="D33">
            <v>0.50316469589798096</v>
          </cell>
          <cell r="E33">
            <v>2.0502663602651547</v>
          </cell>
          <cell r="F33">
            <v>3.5228363211480631</v>
          </cell>
          <cell r="G33">
            <v>6.1200051522369954</v>
          </cell>
        </row>
        <row r="34">
          <cell r="B34">
            <v>0</v>
          </cell>
          <cell r="C34">
            <v>0</v>
          </cell>
          <cell r="D34">
            <v>0.14080689302850102</v>
          </cell>
          <cell r="E34">
            <v>0.15585329636757111</v>
          </cell>
          <cell r="F34">
            <v>0.15597322808705263</v>
          </cell>
          <cell r="G34">
            <v>4.6466849075390056E-3</v>
          </cell>
        </row>
        <row r="35">
          <cell r="B35">
            <v>3.517953999707534</v>
          </cell>
          <cell r="C35">
            <v>4.8498359217769194</v>
          </cell>
          <cell r="D35">
            <v>11.161630214496073</v>
          </cell>
          <cell r="E35">
            <v>12.110625333412253</v>
          </cell>
          <cell r="F35">
            <v>40.834311249537762</v>
          </cell>
          <cell r="G35">
            <v>64.334036103003498</v>
          </cell>
        </row>
        <row r="36">
          <cell r="B36">
            <v>2.1349390887346629</v>
          </cell>
          <cell r="C36">
            <v>3.3907042789842552</v>
          </cell>
          <cell r="D36">
            <v>4.0456848107446861</v>
          </cell>
          <cell r="E36">
            <v>4.3498490911948107</v>
          </cell>
          <cell r="F36">
            <v>1.5546053673584794</v>
          </cell>
          <cell r="G36">
            <v>1.7549015798769052E-2</v>
          </cell>
        </row>
        <row r="37">
          <cell r="B37">
            <v>0.86248322578584768</v>
          </cell>
          <cell r="C37">
            <v>1.2876259229214706</v>
          </cell>
          <cell r="D37">
            <v>3.4857293140469885</v>
          </cell>
          <cell r="E37">
            <v>3.8173603702351038</v>
          </cell>
          <cell r="F37">
            <v>4.2168105430355673</v>
          </cell>
          <cell r="G37">
            <v>4.6580656474394679</v>
          </cell>
        </row>
        <row r="38">
          <cell r="B38">
            <v>2.8396236857719668</v>
          </cell>
          <cell r="C38">
            <v>3.2944552202001307</v>
          </cell>
          <cell r="D38">
            <v>9.9661619519556197</v>
          </cell>
          <cell r="E38">
            <v>10.737245362561856</v>
          </cell>
          <cell r="F38">
            <v>13.898311195948592</v>
          </cell>
          <cell r="G38">
            <v>20.985711386197028</v>
          </cell>
        </row>
        <row r="39">
          <cell r="B39">
            <v>1.9322664294474021</v>
          </cell>
          <cell r="C39">
            <v>1.4721266547877514</v>
          </cell>
          <cell r="D39">
            <v>0.15342258599446348</v>
          </cell>
          <cell r="E39">
            <v>6.8812357730298326E-2</v>
          </cell>
          <cell r="F39">
            <v>1.6262052496349603E-2</v>
          </cell>
          <cell r="G39">
            <v>4.0273672790341452E-3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1.0635896219348133E-3</v>
          </cell>
          <cell r="G40">
            <v>1.67108868854925E-3</v>
          </cell>
        </row>
        <row r="41">
          <cell r="B41">
            <v>0.306441406178799</v>
          </cell>
          <cell r="C41">
            <v>0.69480013476494551</v>
          </cell>
          <cell r="D41">
            <v>2.0838685760994406E-2</v>
          </cell>
          <cell r="E41">
            <v>0.53314193323988379</v>
          </cell>
          <cell r="F41">
            <v>2.2664909156986171E-3</v>
          </cell>
          <cell r="G41">
            <v>6.2172808542288783E-4</v>
          </cell>
        </row>
        <row r="42">
          <cell r="B42">
            <v>0.87272746606237006</v>
          </cell>
          <cell r="C42">
            <v>0.72591458388465646</v>
          </cell>
          <cell r="D42">
            <v>4.5130573608695617</v>
          </cell>
          <cell r="E42">
            <v>7.0430073691202359</v>
          </cell>
          <cell r="F42">
            <v>7.1769219026870905</v>
          </cell>
          <cell r="G42">
            <v>4.4068667234511727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2.8202430984051228</v>
          </cell>
          <cell r="G43">
            <v>6.5571904900501377</v>
          </cell>
        </row>
        <row r="44">
          <cell r="B44">
            <v>3.7120065564306004</v>
          </cell>
          <cell r="C44">
            <v>3.7138778921398092</v>
          </cell>
          <cell r="D44">
            <v>5.4331955243527936</v>
          </cell>
          <cell r="E44">
            <v>5.372535167025978</v>
          </cell>
          <cell r="F44">
            <v>5.3376494969401449</v>
          </cell>
          <cell r="G44">
            <v>1.1793448337512856E-3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4.9230742606977006E-4</v>
          </cell>
          <cell r="G45">
            <v>10.736619838661843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8.6603894511927317E-3</v>
          </cell>
          <cell r="G46">
            <v>6.3758757619466557</v>
          </cell>
        </row>
        <row r="47">
          <cell r="B47">
            <v>0</v>
          </cell>
        </row>
        <row r="48">
          <cell r="B48">
            <v>9.5149583570531687E-2</v>
          </cell>
          <cell r="C48">
            <v>6.3775483796599496E-3</v>
          </cell>
          <cell r="D48">
            <v>3.5040049089567878E-2</v>
          </cell>
          <cell r="E48">
            <v>3.5666501375541761E-2</v>
          </cell>
          <cell r="F48">
            <v>1.7802507362756438E-2</v>
          </cell>
          <cell r="G48">
            <v>4.8362237074377971E-4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1.8791518403196211E-3</v>
          </cell>
          <cell r="F49">
            <v>4.2416146167425801E-3</v>
          </cell>
          <cell r="G49">
            <v>5.6738319826044937E-4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8.4311121941513835E-3</v>
          </cell>
          <cell r="F50">
            <v>2.8368207492000383E-3</v>
          </cell>
          <cell r="G50">
            <v>2.8691277459402817E-3</v>
          </cell>
        </row>
        <row r="51">
          <cell r="B51">
            <v>0.13242928172610838</v>
          </cell>
          <cell r="C51">
            <v>5.7144181238585655E-3</v>
          </cell>
          <cell r="D51">
            <v>5.6754335975658876E-2</v>
          </cell>
          <cell r="E51">
            <v>5.7196397577290536</v>
          </cell>
          <cell r="F51">
            <v>3.5748396989900666</v>
          </cell>
          <cell r="G51">
            <v>5.1090115778934053E-4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1.022514475493325E-2</v>
          </cell>
          <cell r="F52">
            <v>2.5253284677850099</v>
          </cell>
          <cell r="G52">
            <v>6.7224720250913203E-4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1.0112015527218422E-2</v>
          </cell>
          <cell r="F53">
            <v>3.7290350411228242E-3</v>
          </cell>
          <cell r="G53">
            <v>5.4536723928066072E-3</v>
          </cell>
        </row>
        <row r="54">
          <cell r="B54">
            <v>2.645420420876607</v>
          </cell>
          <cell r="C54">
            <v>3.0460726826457249</v>
          </cell>
          <cell r="D54">
            <v>3.855741703216319</v>
          </cell>
          <cell r="E54">
            <v>3.180334784822568</v>
          </cell>
          <cell r="F54">
            <v>7.7251103280268349</v>
          </cell>
          <cell r="G54">
            <v>9.9705315649792663</v>
          </cell>
        </row>
        <row r="55">
          <cell r="B55">
            <v>1.6877201501674997</v>
          </cell>
          <cell r="C55">
            <v>1.7385764088013851</v>
          </cell>
          <cell r="D55">
            <v>3.2174068420233362E-2</v>
          </cell>
          <cell r="E55">
            <v>2.0303081183027684E-2</v>
          </cell>
          <cell r="F55">
            <v>8.6716236341736542E-4</v>
          </cell>
          <cell r="G55">
            <v>7.5371329064732309E-4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4.4409687484478792E-3</v>
          </cell>
          <cell r="F56">
            <v>9.3401471860179986E-4</v>
          </cell>
          <cell r="G56">
            <v>5.0890215885543251E-3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7.4497375452775511E-3</v>
          </cell>
          <cell r="F57">
            <v>1.5531979260676202E-3</v>
          </cell>
          <cell r="G57">
            <v>5.876157833555759E-2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1.2842597623664402E-3</v>
          </cell>
          <cell r="F58">
            <v>4.59480479231659E-3</v>
          </cell>
          <cell r="G58">
            <v>6.7081020165726704E-4</v>
          </cell>
        </row>
        <row r="63">
          <cell r="B63">
            <v>0.13528013018235582</v>
          </cell>
          <cell r="C63">
            <v>1.6406034550318003E-2</v>
          </cell>
          <cell r="D63">
            <v>0.13491687988865181</v>
          </cell>
          <cell r="E63">
            <v>0.1350047534251276</v>
          </cell>
          <cell r="F63">
            <v>2.9312539379885424E-4</v>
          </cell>
          <cell r="G63">
            <v>1.1052063884879242E-4</v>
          </cell>
        </row>
        <row r="64">
          <cell r="B64">
            <v>9.5683657220507288E-3</v>
          </cell>
          <cell r="C64">
            <v>7.7863138369526786E-3</v>
          </cell>
          <cell r="D64">
            <v>9.4060792678875901E-3</v>
          </cell>
          <cell r="E64">
            <v>5.6500017730076449E-3</v>
          </cell>
          <cell r="F64">
            <v>5.652478948439235E-3</v>
          </cell>
          <cell r="G64">
            <v>4.3693981865816398E-2</v>
          </cell>
        </row>
        <row r="65">
          <cell r="B65">
            <v>9.4078962495331118E-3</v>
          </cell>
          <cell r="C65">
            <v>7.2692596055969659E-3</v>
          </cell>
          <cell r="D65">
            <v>9.1908715830686764E-3</v>
          </cell>
          <cell r="E65">
            <v>1.0057060510688977E-2</v>
          </cell>
          <cell r="F65">
            <v>3.397889005046343E-3</v>
          </cell>
          <cell r="G65">
            <v>0.11125209866505022</v>
          </cell>
        </row>
        <row r="66">
          <cell r="B66">
            <v>3.0025273692861959E-3</v>
          </cell>
          <cell r="C66">
            <v>2.9716405886201628E-3</v>
          </cell>
          <cell r="D66">
            <v>2.9716563441078881E-3</v>
          </cell>
          <cell r="E66">
            <v>5.2303506067058532E-2</v>
          </cell>
          <cell r="F66">
            <v>3.9788688779290272E-3</v>
          </cell>
          <cell r="G66">
            <v>1.5441112358861312E-2</v>
          </cell>
        </row>
        <row r="67">
          <cell r="B67">
            <v>6.0188505446161396E-3</v>
          </cell>
          <cell r="C67">
            <v>5.9577375525977118E-3</v>
          </cell>
          <cell r="D67">
            <v>5.9553291270369162E-3</v>
          </cell>
          <cell r="E67">
            <v>7.8121212458132472E-2</v>
          </cell>
          <cell r="F67">
            <v>5.1792796380034575E-3</v>
          </cell>
          <cell r="G67">
            <v>5.0822186948514411E-2</v>
          </cell>
        </row>
        <row r="68">
          <cell r="B68">
            <v>6.0174180955722498E-3</v>
          </cell>
          <cell r="C68">
            <v>5.956335164324764E-3</v>
          </cell>
          <cell r="D68">
            <v>5.9522297387138937E-3</v>
          </cell>
          <cell r="E68">
            <v>7.9318531044763052E-2</v>
          </cell>
          <cell r="F68">
            <v>5.4377281938071034E-3</v>
          </cell>
          <cell r="G68">
            <v>5.0837305208419267E-2</v>
          </cell>
        </row>
        <row r="69">
          <cell r="B69">
            <v>3.0132523354258205E-3</v>
          </cell>
          <cell r="C69">
            <v>2.982524617421608E-3</v>
          </cell>
          <cell r="D69">
            <v>2.9823982169652295E-3</v>
          </cell>
          <cell r="E69">
            <v>5.1994296859041146E-2</v>
          </cell>
          <cell r="F69">
            <v>4.1635903690801267E-3</v>
          </cell>
          <cell r="G69">
            <v>3.1922958022989847E-2</v>
          </cell>
        </row>
        <row r="90">
          <cell r="B90">
            <v>2.0281095538604341</v>
          </cell>
          <cell r="C90">
            <v>2.7584194499106163</v>
          </cell>
          <cell r="D90">
            <v>2.7531129651745889</v>
          </cell>
          <cell r="E90">
            <v>6.4306731838484055</v>
          </cell>
          <cell r="F90">
            <v>2.4071095417229547</v>
          </cell>
          <cell r="G90">
            <v>1.6022741071357149E-5</v>
          </cell>
        </row>
        <row r="91">
          <cell r="B91">
            <v>1.1840099374372226</v>
          </cell>
          <cell r="C91">
            <v>1.183963901909757</v>
          </cell>
          <cell r="D91">
            <v>1.1840158338447899</v>
          </cell>
          <cell r="E91">
            <v>1.6362432907874476</v>
          </cell>
          <cell r="F91">
            <v>1.6362299306370638</v>
          </cell>
          <cell r="G91">
            <v>1.6362093946674612</v>
          </cell>
        </row>
        <row r="92">
          <cell r="B92">
            <v>1.4500617813936036</v>
          </cell>
          <cell r="C92">
            <v>3.8019469359038429</v>
          </cell>
          <cell r="D92">
            <v>3.2982445456783847</v>
          </cell>
          <cell r="E92">
            <v>0.85652859757509403</v>
          </cell>
          <cell r="F92">
            <v>0</v>
          </cell>
          <cell r="G92">
            <v>0</v>
          </cell>
        </row>
        <row r="93">
          <cell r="B93">
            <v>0.21547039291169809</v>
          </cell>
          <cell r="C93">
            <v>0.21745525523290485</v>
          </cell>
          <cell r="D93">
            <v>5.9088978843404114E-3</v>
          </cell>
          <cell r="E93">
            <v>3.3685367409350792E-4</v>
          </cell>
          <cell r="F93">
            <v>9.0161558141635563E-5</v>
          </cell>
          <cell r="G93">
            <v>8.6318391608437683E-6</v>
          </cell>
        </row>
        <row r="94">
          <cell r="B94">
            <v>3.146085442898082</v>
          </cell>
          <cell r="C94">
            <v>2.8393336608459734</v>
          </cell>
          <cell r="D94">
            <v>2.4343921488392515</v>
          </cell>
          <cell r="E94">
            <v>1.883688568161817</v>
          </cell>
          <cell r="F94">
            <v>1.1278366418455199</v>
          </cell>
          <cell r="G94">
            <v>0.67529111407440523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3.0282377705697998</v>
          </cell>
          <cell r="G96">
            <v>6.050609652151496</v>
          </cell>
        </row>
        <row r="97">
          <cell r="B97">
            <v>0</v>
          </cell>
          <cell r="C97">
            <v>1.0282975414438067</v>
          </cell>
          <cell r="D97">
            <v>1.0594567131754415</v>
          </cell>
          <cell r="E97">
            <v>2.0475022226087605</v>
          </cell>
          <cell r="F97">
            <v>2.2617149477420675</v>
          </cell>
          <cell r="G97">
            <v>2.4983388130213089</v>
          </cell>
        </row>
      </sheetData>
      <sheetData sheetId="35">
        <row r="14">
          <cell r="B14">
            <v>3.0805584755879307</v>
          </cell>
          <cell r="C14">
            <v>3.0805573845841887</v>
          </cell>
          <cell r="D14">
            <v>2.3583396216238746</v>
          </cell>
          <cell r="E14">
            <v>2.3421729741058583</v>
          </cell>
          <cell r="F14">
            <v>1.2356854331844427</v>
          </cell>
          <cell r="G14">
            <v>0</v>
          </cell>
        </row>
        <row r="15">
          <cell r="B15">
            <v>7.3394300010600002</v>
          </cell>
          <cell r="C15">
            <v>7.3750203627567172</v>
          </cell>
          <cell r="D15">
            <v>7.3750414617757771</v>
          </cell>
          <cell r="E15">
            <v>7.4159841062070653</v>
          </cell>
          <cell r="F15">
            <v>7.4162116907306865</v>
          </cell>
          <cell r="G15">
            <v>7.7286128917725678</v>
          </cell>
        </row>
        <row r="16">
          <cell r="B16">
            <v>4.7247299999999992</v>
          </cell>
          <cell r="C16">
            <v>4.8082017405396726</v>
          </cell>
          <cell r="D16">
            <v>4.8623399682333073</v>
          </cell>
          <cell r="E16">
            <v>4.8930274978694364</v>
          </cell>
          <cell r="F16">
            <v>4.9567418335984241</v>
          </cell>
          <cell r="G16">
            <v>5.3248712409371368</v>
          </cell>
        </row>
        <row r="17">
          <cell r="B17">
            <v>3.3394499999999998</v>
          </cell>
          <cell r="C17">
            <v>3.9715471670516318</v>
          </cell>
          <cell r="D17">
            <v>4.3599682209305817</v>
          </cell>
          <cell r="E17">
            <v>4.3599682209305817</v>
          </cell>
          <cell r="F17">
            <v>4.3599685276404925</v>
          </cell>
          <cell r="G17">
            <v>4.360654865738133</v>
          </cell>
        </row>
        <row r="18">
          <cell r="B18">
            <v>2.3747503931703301E-2</v>
          </cell>
          <cell r="C18">
            <v>2.2970241588085694E-2</v>
          </cell>
          <cell r="D18">
            <v>2.4727102538203101E-2</v>
          </cell>
          <cell r="E18">
            <v>1.9362950150428323E-2</v>
          </cell>
          <cell r="F18">
            <v>3.6146775324435096E-2</v>
          </cell>
          <cell r="G18">
            <v>1.7401456951092669E-2</v>
          </cell>
        </row>
        <row r="19">
          <cell r="B19">
            <v>0.30587155596318022</v>
          </cell>
          <cell r="C19">
            <v>0.30586696919522094</v>
          </cell>
          <cell r="D19">
            <v>0.30586021122318746</v>
          </cell>
          <cell r="E19">
            <v>0.27599289766152679</v>
          </cell>
          <cell r="F19">
            <v>0.30103237068741978</v>
          </cell>
          <cell r="G19">
            <v>0.18727981324294232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1.9819810467024701E-5</v>
          </cell>
          <cell r="G20">
            <v>0.17777065854578883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1.8677065959692301E-4</v>
          </cell>
          <cell r="G21">
            <v>3.86080978241913E-4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2.7355977092485399E-3</v>
          </cell>
          <cell r="F22">
            <v>4.9932272238443071E-3</v>
          </cell>
          <cell r="G22">
            <v>4.3317790795943242E-3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1.00383413872426E-4</v>
          </cell>
          <cell r="G23">
            <v>2.8425345918143399E-2</v>
          </cell>
        </row>
        <row r="24">
          <cell r="B24">
            <v>4.9792916606342996E-2</v>
          </cell>
          <cell r="C24">
            <v>1.7506896726396382E-4</v>
          </cell>
          <cell r="D24">
            <v>8.3078831727673164E-4</v>
          </cell>
          <cell r="E24">
            <v>2.0294048915864282E-4</v>
          </cell>
          <cell r="F24">
            <v>2.076236850148699E-4</v>
          </cell>
          <cell r="G24">
            <v>1.8440511245115503E-5</v>
          </cell>
        </row>
        <row r="25">
          <cell r="B25">
            <v>3.528656498959018E-4</v>
          </cell>
          <cell r="C25">
            <v>4.1794257917542738E-4</v>
          </cell>
          <cell r="D25">
            <v>2.2081365587686697E-4</v>
          </cell>
          <cell r="E25">
            <v>2.83243297834328E-2</v>
          </cell>
          <cell r="F25">
            <v>7.5225306793776023E-2</v>
          </cell>
          <cell r="G25">
            <v>5.5906231893474795E-2</v>
          </cell>
        </row>
        <row r="26">
          <cell r="B26">
            <v>7.839986330717108E-2</v>
          </cell>
          <cell r="C26">
            <v>7.1002323319369356E-2</v>
          </cell>
          <cell r="D26">
            <v>7.0490522526765659E-2</v>
          </cell>
          <cell r="E26">
            <v>7.049017559743663E-2</v>
          </cell>
          <cell r="F26">
            <v>7.077784321447525E-2</v>
          </cell>
          <cell r="G26">
            <v>4.2503513214401469E-2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1.17858877644963E-5</v>
          </cell>
          <cell r="G27">
            <v>5.6067679048642918E-2</v>
          </cell>
        </row>
        <row r="28">
          <cell r="B28">
            <v>4.4473643099610409E-3</v>
          </cell>
          <cell r="C28">
            <v>2.3070334556202221E-3</v>
          </cell>
          <cell r="D28">
            <v>2.1385152353832395E-3</v>
          </cell>
          <cell r="E28">
            <v>8.5128079929060879E-4</v>
          </cell>
          <cell r="F28">
            <v>2.4890417090595539E-4</v>
          </cell>
          <cell r="G28">
            <v>1.4206823777813843E-4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1.0964637484447501E-2</v>
          </cell>
          <cell r="G29">
            <v>4.2100946525899102E-5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2.0430331424569099E-4</v>
          </cell>
          <cell r="G30">
            <v>2.0614469272926797E-4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2.25732259762564E-5</v>
          </cell>
          <cell r="G31">
            <v>2.7926551029221137E-2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1.3252428348939599E-7</v>
          </cell>
          <cell r="G32">
            <v>5.4901829477179104E-7</v>
          </cell>
        </row>
        <row r="33">
          <cell r="B33">
            <v>8.7120000000000003E-2</v>
          </cell>
          <cell r="C33">
            <v>9.0660014388956711E-2</v>
          </cell>
          <cell r="D33">
            <v>8.3655931882885726E-2</v>
          </cell>
          <cell r="E33">
            <v>0.34087619805815134</v>
          </cell>
          <cell r="F33">
            <v>0.5857063656914987</v>
          </cell>
          <cell r="G33">
            <v>1.0175127592478199</v>
          </cell>
        </row>
        <row r="34">
          <cell r="B34">
            <v>0</v>
          </cell>
          <cell r="C34">
            <v>0</v>
          </cell>
          <cell r="D34">
            <v>4.4925842558885397E-2</v>
          </cell>
          <cell r="E34">
            <v>4.4928045490174477E-2</v>
          </cell>
          <cell r="F34">
            <v>4.4978798925894833E-2</v>
          </cell>
          <cell r="G34">
            <v>1.3598009999977098E-3</v>
          </cell>
        </row>
        <row r="35">
          <cell r="B35">
            <v>1.1186210000000001</v>
          </cell>
          <cell r="C35">
            <v>1.6529270814017174</v>
          </cell>
          <cell r="D35">
            <v>3.5611879766709498</v>
          </cell>
          <cell r="E35">
            <v>3.4922726345920201</v>
          </cell>
          <cell r="F35">
            <v>11.775160650839936</v>
          </cell>
          <cell r="G35">
            <v>18.551642650806201</v>
          </cell>
        </row>
        <row r="36">
          <cell r="B36">
            <v>0.67885700000000004</v>
          </cell>
          <cell r="C36">
            <v>1.1559132811267339</v>
          </cell>
          <cell r="D36">
            <v>1.2908165290859404</v>
          </cell>
          <cell r="E36">
            <v>1.2539342733945522</v>
          </cell>
          <cell r="F36">
            <v>0.44815328845154256</v>
          </cell>
          <cell r="G36">
            <v>5.0653661034712905E-3</v>
          </cell>
        </row>
        <row r="37">
          <cell r="B37">
            <v>0.27424799999999999</v>
          </cell>
          <cell r="C37">
            <v>0.43896010371138927</v>
          </cell>
          <cell r="D37">
            <v>1.1121586293340209</v>
          </cell>
          <cell r="E37">
            <v>1.1004346793019284</v>
          </cell>
          <cell r="F37">
            <v>1.2155885330133671</v>
          </cell>
          <cell r="G37">
            <v>1.3427886240396538</v>
          </cell>
        </row>
        <row r="38">
          <cell r="B38">
            <v>0.90292899999999998</v>
          </cell>
          <cell r="C38">
            <v>1.123101323775185</v>
          </cell>
          <cell r="D38">
            <v>3.1798039966962799</v>
          </cell>
          <cell r="E38">
            <v>3.0952346140228002</v>
          </cell>
          <cell r="F38">
            <v>4.0064795665390891</v>
          </cell>
          <cell r="G38">
            <v>6.0495704706713598</v>
          </cell>
        </row>
        <row r="39">
          <cell r="B39">
            <v>2.6323929641722504E-2</v>
          </cell>
          <cell r="C39">
            <v>1.9497317432681932E-2</v>
          </cell>
          <cell r="D39">
            <v>1.2460011987398316E-2</v>
          </cell>
          <cell r="E39">
            <v>5.8850052372145991E-3</v>
          </cell>
          <cell r="F39">
            <v>1.2940977463535E-3</v>
          </cell>
          <cell r="G39">
            <v>1.8808115306320891E-4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7.3424459817592998E-5</v>
          </cell>
          <cell r="G40">
            <v>1.2249671335952579E-4</v>
          </cell>
        </row>
        <row r="41">
          <cell r="B41">
            <v>8.3036070678958376E-3</v>
          </cell>
          <cell r="C41">
            <v>1.071065164118515E-2</v>
          </cell>
          <cell r="D41">
            <v>1.0791868605737734E-2</v>
          </cell>
          <cell r="E41">
            <v>2.4764699816152123E-2</v>
          </cell>
          <cell r="F41">
            <v>1.4363160574146008E-3</v>
          </cell>
          <cell r="G41">
            <v>3.1695398169922021E-4</v>
          </cell>
        </row>
        <row r="42">
          <cell r="B42">
            <v>7.9227383283743905E-3</v>
          </cell>
          <cell r="C42">
            <v>6.0630551863851724E-3</v>
          </cell>
          <cell r="D42">
            <v>4.2165486657740427E-2</v>
          </cell>
          <cell r="E42">
            <v>8.8143985427030086E-2</v>
          </cell>
          <cell r="F42">
            <v>0.15804016541037103</v>
          </cell>
          <cell r="G42">
            <v>9.7966071701243482E-2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4.36021052638993E-2</v>
          </cell>
          <cell r="G43">
            <v>0.100289913607326</v>
          </cell>
        </row>
        <row r="44">
          <cell r="B44">
            <v>4.8153806922030279E-2</v>
          </cell>
          <cell r="C44">
            <v>1.3853897398103672E-2</v>
          </cell>
          <cell r="D44">
            <v>1.3850963229599784E-2</v>
          </cell>
          <cell r="E44">
            <v>1.3561378224452306E-2</v>
          </cell>
          <cell r="F44">
            <v>1.3459378154115688E-2</v>
          </cell>
          <cell r="G44">
            <v>7.5903310666074891E-4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7.2130096980904399E-6</v>
          </cell>
          <cell r="G45">
            <v>6.0466060787934608E-2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1.0112125980486089E-3</v>
          </cell>
          <cell r="G46">
            <v>0.15538128361479694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2.412943253515972E-4</v>
          </cell>
          <cell r="G47">
            <v>2.1759369980168698E-4</v>
          </cell>
        </row>
        <row r="48">
          <cell r="B48">
            <v>4.1525701586821121E-3</v>
          </cell>
          <cell r="C48">
            <v>4.6310699639616937E-4</v>
          </cell>
          <cell r="D48">
            <v>6.6798272389262891E-4</v>
          </cell>
          <cell r="E48">
            <v>7.4970388812410399E-4</v>
          </cell>
          <cell r="F48">
            <v>4.5940701050901038E-4</v>
          </cell>
          <cell r="G48">
            <v>3.30612624096014E-5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6.9301687251229402E-5</v>
          </cell>
          <cell r="F49">
            <v>1.6120699922683244E-4</v>
          </cell>
          <cell r="G49">
            <v>7.2226194262221919E-5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1.0139404926817649E-4</v>
          </cell>
          <cell r="F50">
            <v>1.1755561003794119E-4</v>
          </cell>
          <cell r="G50">
            <v>7.3554750271905835E-5</v>
          </cell>
        </row>
        <row r="51">
          <cell r="B51">
            <v>8.5537919737408413E-3</v>
          </cell>
          <cell r="C51">
            <v>4.1899055532422156E-4</v>
          </cell>
          <cell r="D51">
            <v>1.4417346534852586E-3</v>
          </cell>
          <cell r="E51">
            <v>0.12707088616178433</v>
          </cell>
          <cell r="F51">
            <v>8.1329744343207638E-2</v>
          </cell>
          <cell r="G51">
            <v>3.829492551229996E-5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3.8143794892232401E-4</v>
          </cell>
          <cell r="F52">
            <v>0.10922234117151705</v>
          </cell>
          <cell r="G52">
            <v>1.9645575627730283E-4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1.6917223636218762E-4</v>
          </cell>
          <cell r="F53">
            <v>2.0542831794159177E-4</v>
          </cell>
          <cell r="G53">
            <v>1.4730461770318367E-4</v>
          </cell>
        </row>
        <row r="54">
          <cell r="B54">
            <v>7.3511881396442533E-2</v>
          </cell>
          <cell r="C54">
            <v>8.4745772867377833E-2</v>
          </cell>
          <cell r="D54">
            <v>8.8799640384554859E-2</v>
          </cell>
          <cell r="E54">
            <v>8.8802086910126685E-2</v>
          </cell>
          <cell r="F54">
            <v>0.4378344440606865</v>
          </cell>
          <cell r="G54">
            <v>0.29428314931198218</v>
          </cell>
        </row>
        <row r="55">
          <cell r="B55">
            <v>6.5199409625423407E-2</v>
          </cell>
          <cell r="C55">
            <v>4.788100193728078E-2</v>
          </cell>
          <cell r="D55">
            <v>1.4585398937645017E-3</v>
          </cell>
          <cell r="E55">
            <v>9.8199918317379981E-4</v>
          </cell>
          <cell r="F55">
            <v>4.3647641582600372E-5</v>
          </cell>
          <cell r="G55">
            <v>3.9022978585436175E-5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7.8349710549019896E-5</v>
          </cell>
          <cell r="F56">
            <v>3.9416528533599594E-5</v>
          </cell>
          <cell r="G56">
            <v>1.4619785890644641E-4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2.0786880176428099E-4</v>
          </cell>
          <cell r="F57">
            <v>1.3211972743871491E-4</v>
          </cell>
          <cell r="G57">
            <v>1.9825850510617471E-3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7.4674593638540801E-5</v>
          </cell>
          <cell r="F58">
            <v>2.0737562775316199E-4</v>
          </cell>
          <cell r="G58">
            <v>6.6846380998021371E-5</v>
          </cell>
        </row>
        <row r="63">
          <cell r="B63">
            <v>0.1</v>
          </cell>
          <cell r="C63">
            <v>9.999573827579504E-2</v>
          </cell>
          <cell r="D63">
            <v>9.9995134785457726E-2</v>
          </cell>
          <cell r="E63">
            <v>9.9994882389701473E-2</v>
          </cell>
          <cell r="F63">
            <v>9.9996599784006324E-2</v>
          </cell>
          <cell r="G63">
            <v>9.9997587874963836E-2</v>
          </cell>
        </row>
        <row r="64">
          <cell r="B64">
            <v>1.4145276796094901E-3</v>
          </cell>
          <cell r="C64">
            <v>1.4152478827193515E-3</v>
          </cell>
          <cell r="D64">
            <v>1.4176599242536256E-3</v>
          </cell>
          <cell r="E64">
            <v>1.0385354093291239E-3</v>
          </cell>
          <cell r="F64">
            <v>0.15841494347245585</v>
          </cell>
          <cell r="G64">
            <v>0.90012664120206454</v>
          </cell>
        </row>
        <row r="65">
          <cell r="B65">
            <v>1.1729823416424001E-3</v>
          </cell>
          <cell r="C65">
            <v>1.1737884817558701E-3</v>
          </cell>
          <cell r="D65">
            <v>1.1811590944569128E-3</v>
          </cell>
          <cell r="E65">
            <v>1.2393395933987981E-3</v>
          </cell>
          <cell r="F65">
            <v>4.5659287297140777E-3</v>
          </cell>
          <cell r="G65">
            <v>0.35055919223813226</v>
          </cell>
        </row>
        <row r="66">
          <cell r="B66">
            <v>1.0983265258409525E-3</v>
          </cell>
          <cell r="C66">
            <v>1.0993787276146962E-3</v>
          </cell>
          <cell r="D66">
            <v>1.1038099708056491E-3</v>
          </cell>
          <cell r="E66">
            <v>1.9371896736900446E-2</v>
          </cell>
          <cell r="F66">
            <v>3.3001004075781958E-2</v>
          </cell>
          <cell r="G66">
            <v>3.4686898839575028E-2</v>
          </cell>
        </row>
        <row r="67">
          <cell r="B67">
            <v>2.2015781224975391E-3</v>
          </cell>
          <cell r="C67">
            <v>2.203663454931535E-3</v>
          </cell>
          <cell r="D67">
            <v>2.2120067797108504E-3</v>
          </cell>
          <cell r="E67">
            <v>2.8933629611227332E-2</v>
          </cell>
          <cell r="F67">
            <v>6.3066320214004823E-2</v>
          </cell>
          <cell r="G67">
            <v>0.10681891994355408</v>
          </cell>
        </row>
        <row r="68">
          <cell r="B68">
            <v>2.2010568289513258E-3</v>
          </cell>
          <cell r="C68">
            <v>2.2031374784368166E-3</v>
          </cell>
          <cell r="D68">
            <v>2.2113678184333052E-3</v>
          </cell>
          <cell r="E68">
            <v>2.937688271934491E-2</v>
          </cell>
          <cell r="F68">
            <v>6.7530145061001232E-2</v>
          </cell>
          <cell r="G68">
            <v>0.10686340845799475</v>
          </cell>
        </row>
        <row r="69">
          <cell r="B69">
            <v>1.1022271237887324E-3</v>
          </cell>
          <cell r="C69">
            <v>1.1032753837527157E-3</v>
          </cell>
          <cell r="D69">
            <v>1.1076721196135748E-3</v>
          </cell>
          <cell r="E69">
            <v>1.9256170201705294E-2</v>
          </cell>
          <cell r="F69">
            <v>3.3786144981068633E-2</v>
          </cell>
          <cell r="G69">
            <v>5.863578149731842E-2</v>
          </cell>
        </row>
      </sheetData>
      <sheetData sheetId="36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>
            <v>0</v>
          </cell>
          <cell r="C15">
            <v>3.5590361696717164E-2</v>
          </cell>
          <cell r="D15">
            <v>2.5150014349378739E-5</v>
          </cell>
          <cell r="E15">
            <v>4.094595557608207E-2</v>
          </cell>
          <cell r="F15">
            <v>0.15310165685375365</v>
          </cell>
          <cell r="G15">
            <v>0.51105325047634531</v>
          </cell>
        </row>
        <row r="16">
          <cell r="B16">
            <v>0</v>
          </cell>
          <cell r="C16">
            <v>1.1371745351913621E-3</v>
          </cell>
          <cell r="D16">
            <v>3.1915874509756527E-3</v>
          </cell>
          <cell r="E16">
            <v>2.6873716693678589E-2</v>
          </cell>
          <cell r="F16">
            <v>6.3687777904654047E-2</v>
          </cell>
          <cell r="G16">
            <v>0.36812932869361242</v>
          </cell>
        </row>
        <row r="17">
          <cell r="B17">
            <v>0</v>
          </cell>
          <cell r="C17">
            <v>5.1822093058165796E-4</v>
          </cell>
          <cell r="D17">
            <v>1.04018679950445E-7</v>
          </cell>
          <cell r="E17">
            <v>2.0269123087169901E-7</v>
          </cell>
          <cell r="F17">
            <v>3.9069249782380902E-4</v>
          </cell>
          <cell r="G17">
            <v>9.6277375102145595E-4</v>
          </cell>
        </row>
        <row r="18">
          <cell r="B18">
            <v>0</v>
          </cell>
          <cell r="C18">
            <v>2.8103450150786999E-5</v>
          </cell>
          <cell r="D18">
            <v>1.22691947944058E-2</v>
          </cell>
          <cell r="E18">
            <v>7.1719145558087104E-5</v>
          </cell>
          <cell r="F18">
            <v>9.5320839042672006E-6</v>
          </cell>
          <cell r="G18">
            <v>8.6746031869413994E-6</v>
          </cell>
        </row>
        <row r="19">
          <cell r="B19">
            <v>0</v>
          </cell>
          <cell r="C19">
            <v>5.7917313612125495E-7</v>
          </cell>
          <cell r="D19">
            <v>2.3189136421135199E-6</v>
          </cell>
          <cell r="E19">
            <v>5.4111735830389501E-2</v>
          </cell>
          <cell r="F19">
            <v>5.4344944799180499E-2</v>
          </cell>
          <cell r="G19">
            <v>1.3810390948354601E-7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1.9819810467024701E-5</v>
          </cell>
          <cell r="G20">
            <v>0.177750896795978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3.8790223258782902E-4</v>
          </cell>
          <cell r="G21">
            <v>1.9342566620511201E-6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4.9721023366875198E-3</v>
          </cell>
          <cell r="F22">
            <v>1.18557081393982E-5</v>
          </cell>
          <cell r="G22">
            <v>8.1242506986300298E-6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2.0848537152429501E-4</v>
          </cell>
          <cell r="G23">
            <v>3.8133479929019901E-2</v>
          </cell>
        </row>
        <row r="24">
          <cell r="B24">
            <v>0</v>
          </cell>
          <cell r="C24">
            <v>6.8882607546805295E-7</v>
          </cell>
          <cell r="D24">
            <v>6.5581765479005795E-4</v>
          </cell>
          <cell r="E24">
            <v>2.3478605206174802E-6</v>
          </cell>
          <cell r="F24">
            <v>1.1470937361197399E-6</v>
          </cell>
          <cell r="G24">
            <v>5.9979175960482104E-7</v>
          </cell>
        </row>
        <row r="25">
          <cell r="B25">
            <v>0</v>
          </cell>
          <cell r="C25">
            <v>1.33232775013024E-4</v>
          </cell>
          <cell r="D25">
            <v>2.6473972105041099E-5</v>
          </cell>
          <cell r="E25">
            <v>2.8106207487311002E-2</v>
          </cell>
          <cell r="F25">
            <v>3.5401912173387499E-2</v>
          </cell>
          <cell r="G25">
            <v>3.9378834835884103E-3</v>
          </cell>
        </row>
        <row r="26">
          <cell r="B26">
            <v>0</v>
          </cell>
          <cell r="C26">
            <v>3.3446430668030499E-7</v>
          </cell>
          <cell r="D26">
            <v>3.04704233580749E-7</v>
          </cell>
          <cell r="E26">
            <v>1.0379293780389001E-6</v>
          </cell>
          <cell r="F26">
            <v>2.0305373233698101E-2</v>
          </cell>
          <cell r="G26">
            <v>1.3221366043398501E-7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1.17858877644963E-5</v>
          </cell>
          <cell r="G27">
            <v>5.6055961138023698E-2</v>
          </cell>
        </row>
        <row r="28">
          <cell r="B28">
            <v>0</v>
          </cell>
          <cell r="C28">
            <v>7.5888356795618196E-6</v>
          </cell>
          <cell r="D28">
            <v>5.7473200525670897E-6</v>
          </cell>
          <cell r="E28">
            <v>7.1621990584402E-6</v>
          </cell>
          <cell r="F28">
            <v>4.5073069776531003E-5</v>
          </cell>
          <cell r="G28">
            <v>8.4278759432206501E-5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1.0964637484447501E-2</v>
          </cell>
          <cell r="G29">
            <v>2.2812350547867599E-7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2.0430331424569099E-4</v>
          </cell>
          <cell r="G30">
            <v>2.2140444503911501E-6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4.6882121484158897E-5</v>
          </cell>
          <cell r="G31">
            <v>3.7677160898818798E-2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8.4653024011769996E-7</v>
          </cell>
          <cell r="G32">
            <v>8.7014613726761695E-8</v>
          </cell>
        </row>
        <row r="33">
          <cell r="B33">
            <v>0</v>
          </cell>
          <cell r="C33">
            <v>7.1321263523495201E-3</v>
          </cell>
          <cell r="D33">
            <v>0.40214549739719102</v>
          </cell>
          <cell r="E33">
            <v>0.175751177709907</v>
          </cell>
          <cell r="F33">
            <v>2.3533406342360899E-5</v>
          </cell>
          <cell r="G33">
            <v>3.4820243220109899</v>
          </cell>
        </row>
        <row r="34">
          <cell r="B34">
            <v>0</v>
          </cell>
          <cell r="C34">
            <v>0</v>
          </cell>
          <cell r="D34">
            <v>4.4925842558885397E-2</v>
          </cell>
          <cell r="E34">
            <v>1.8952942641271799E-6</v>
          </cell>
          <cell r="F34">
            <v>1.32476731336464E-5</v>
          </cell>
          <cell r="G34">
            <v>1.31211364995085E-3</v>
          </cell>
        </row>
        <row r="35">
          <cell r="B35">
            <v>0</v>
          </cell>
          <cell r="C35">
            <v>6.6814667401421198E-8</v>
          </cell>
          <cell r="D35">
            <v>1.76796690985629</v>
          </cell>
          <cell r="E35">
            <v>5.54725179885903E-7</v>
          </cell>
          <cell r="F35">
            <v>6.1399710023583296</v>
          </cell>
          <cell r="G35">
            <v>9.7280607971935407</v>
          </cell>
        </row>
        <row r="36">
          <cell r="B36">
            <v>0</v>
          </cell>
          <cell r="C36">
            <v>1.336344858397307E-5</v>
          </cell>
          <cell r="D36">
            <v>1.6461656373562468E-3</v>
          </cell>
          <cell r="E36">
            <v>5.7925223210785699E-7</v>
          </cell>
          <cell r="F36">
            <v>1.2033971230755048E-4</v>
          </cell>
          <cell r="G36">
            <v>4.8691838736205605E-3</v>
          </cell>
        </row>
        <row r="37">
          <cell r="B37">
            <v>0</v>
          </cell>
          <cell r="C37">
            <v>1.4786234976242098E-5</v>
          </cell>
          <cell r="D37">
            <v>0.62899584309904411</v>
          </cell>
          <cell r="E37">
            <v>8.3770842577466394E-7</v>
          </cell>
          <cell r="F37">
            <v>0.28400827396172373</v>
          </cell>
          <cell r="G37">
            <v>0.943563396299264</v>
          </cell>
        </row>
        <row r="38">
          <cell r="B38">
            <v>0</v>
          </cell>
          <cell r="C38">
            <v>6.2207174970676601E-8</v>
          </cell>
          <cell r="D38">
            <v>2.0045749344891002</v>
          </cell>
          <cell r="E38">
            <v>4.3908583961525201E-7</v>
          </cell>
          <cell r="F38">
            <v>1.1607985106996599</v>
          </cell>
          <cell r="G38">
            <v>4.3909532091048096</v>
          </cell>
        </row>
        <row r="39">
          <cell r="B39">
            <v>0</v>
          </cell>
          <cell r="C39">
            <v>1.04156438285341E-5</v>
          </cell>
          <cell r="D39">
            <v>1.36760145860801E-5</v>
          </cell>
          <cell r="E39">
            <v>2.0900504771199902E-3</v>
          </cell>
          <cell r="F39">
            <v>8.0678162352263837E-7</v>
          </cell>
          <cell r="G39">
            <v>1.3772528066328501E-6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7.3424459817592998E-5</v>
          </cell>
          <cell r="G40">
            <v>5.0836736612959098E-5</v>
          </cell>
        </row>
        <row r="41">
          <cell r="B41">
            <v>0</v>
          </cell>
          <cell r="C41">
            <v>9.7786479906038105E-3</v>
          </cell>
          <cell r="D41">
            <v>8.5415348039265696E-5</v>
          </cell>
          <cell r="E41">
            <v>1.39748886662047E-2</v>
          </cell>
          <cell r="F41">
            <v>3.1415764594089699E-6</v>
          </cell>
          <cell r="G41">
            <v>2.3209293733401098E-6</v>
          </cell>
        </row>
        <row r="42">
          <cell r="B42">
            <v>0</v>
          </cell>
          <cell r="C42">
            <v>4.3842532617909304E-3</v>
          </cell>
          <cell r="D42">
            <v>3.6102857544322901E-2</v>
          </cell>
          <cell r="E42">
            <v>4.5979477138806402E-2</v>
          </cell>
          <cell r="F42">
            <v>0.109987158961456</v>
          </cell>
          <cell r="G42">
            <v>1.3806795009944599E-2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4.36021052638993E-2</v>
          </cell>
          <cell r="G43">
            <v>6.8646404105755898E-2</v>
          </cell>
        </row>
        <row r="44">
          <cell r="B44">
            <v>0</v>
          </cell>
          <cell r="C44">
            <v>8.3856456357179996E-7</v>
          </cell>
          <cell r="D44">
            <v>5.9010486511248199E-7</v>
          </cell>
          <cell r="E44">
            <v>1.5000676378986301E-3</v>
          </cell>
          <cell r="F44">
            <v>6.0223751460870497E-4</v>
          </cell>
          <cell r="G44">
            <v>8.10715371395961E-8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7.2130096980904399E-6</v>
          </cell>
          <cell r="G45">
            <v>6.0458929776736198E-2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1.13182907966579E-6</v>
          </cell>
          <cell r="G46">
            <v>0.15495355151048201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1.24407250687902E-6</v>
          </cell>
          <cell r="G47">
            <v>1.15367892318827E-4</v>
          </cell>
        </row>
        <row r="48">
          <cell r="B48">
            <v>0</v>
          </cell>
          <cell r="C48">
            <v>7.1747244657469512E-5</v>
          </cell>
          <cell r="D48">
            <v>2.057583997963802E-4</v>
          </cell>
          <cell r="E48">
            <v>8.5025281798587605E-5</v>
          </cell>
          <cell r="F48">
            <v>6.0854614016507098E-6</v>
          </cell>
          <cell r="G48">
            <v>1.806790613146313E-6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6.9301687251229402E-5</v>
          </cell>
          <cell r="F49">
            <v>1.176136805973696E-6</v>
          </cell>
          <cell r="G49">
            <v>1.5590699446610299E-7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1.0139404926817649E-4</v>
          </cell>
          <cell r="F50">
            <v>8.4627581568712296E-7</v>
          </cell>
          <cell r="G50">
            <v>5.27163178894767E-5</v>
          </cell>
        </row>
        <row r="51">
          <cell r="B51">
            <v>0</v>
          </cell>
          <cell r="C51">
            <v>2.9786410842844104E-4</v>
          </cell>
          <cell r="D51">
            <v>1.0225669474910291E-3</v>
          </cell>
          <cell r="E51">
            <v>0.12562953471295862</v>
          </cell>
          <cell r="F51">
            <v>5.2925871075804694E-7</v>
          </cell>
          <cell r="G51">
            <v>3.5998186763008401E-7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3.8143794892232401E-4</v>
          </cell>
          <cell r="F52">
            <v>9.0360444558059902E-2</v>
          </cell>
          <cell r="G52">
            <v>5.39686729989518E-7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1.6917223636218762E-4</v>
          </cell>
          <cell r="F53">
            <v>1.3213122758385979E-6</v>
          </cell>
          <cell r="G53">
            <v>1.082440922251059E-4</v>
          </cell>
        </row>
        <row r="54">
          <cell r="B54">
            <v>0</v>
          </cell>
          <cell r="C54">
            <v>2.6190184071780299E-2</v>
          </cell>
          <cell r="D54">
            <v>1.0627405981027301E-2</v>
          </cell>
          <cell r="E54">
            <v>1.2223310591966401E-2</v>
          </cell>
          <cell r="F54">
            <v>0.360419981596523</v>
          </cell>
          <cell r="G54">
            <v>4.295894787005E-3</v>
          </cell>
        </row>
        <row r="55">
          <cell r="B55">
            <v>0</v>
          </cell>
          <cell r="C55">
            <v>2.7175537579225299E-2</v>
          </cell>
          <cell r="D55">
            <v>1.8135261606865499E-7</v>
          </cell>
          <cell r="E55">
            <v>7.8831202158531196E-7</v>
          </cell>
          <cell r="F55">
            <v>7.1970012824178196E-7</v>
          </cell>
          <cell r="G55">
            <v>3.8280721721473403E-5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7.8349710549019896E-5</v>
          </cell>
          <cell r="F56">
            <v>4.5586373231606001E-7</v>
          </cell>
          <cell r="G56">
            <v>1.40254141413398E-4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2.0786880176428099E-4</v>
          </cell>
          <cell r="F57">
            <v>4.2632475265511799E-7</v>
          </cell>
          <cell r="G57">
            <v>1.9824670334474001E-3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7.4674593638540801E-5</v>
          </cell>
          <cell r="F58">
            <v>3.16982104318812E-6</v>
          </cell>
          <cell r="G58">
            <v>5.8296170823568298E-7</v>
          </cell>
        </row>
        <row r="63">
          <cell r="B63">
            <v>0</v>
          </cell>
          <cell r="C63">
            <v>8.8086694527245202E-7</v>
          </cell>
          <cell r="D63">
            <v>9.2214835615645599E-7</v>
          </cell>
          <cell r="E63">
            <v>9.20395587004317E-7</v>
          </cell>
          <cell r="F63">
            <v>2.2068251217380001E-6</v>
          </cell>
          <cell r="G63">
            <v>1.433617195125E-6</v>
          </cell>
        </row>
        <row r="64">
          <cell r="B64">
            <v>1.4145276796094901E-3</v>
          </cell>
          <cell r="C64">
            <v>1.87926450213563E-6</v>
          </cell>
          <cell r="D64">
            <v>3.2638194789854599E-6</v>
          </cell>
          <cell r="E64">
            <v>2.87990732065858E-6</v>
          </cell>
          <cell r="F64">
            <v>0.15677825371783899</v>
          </cell>
          <cell r="G64">
            <v>0.82121567538555396</v>
          </cell>
        </row>
        <row r="65">
          <cell r="B65">
            <v>1.1729823416424001E-3</v>
          </cell>
          <cell r="C65">
            <v>1.7639905811766301E-6</v>
          </cell>
          <cell r="D65">
            <v>7.9068179204781493E-6</v>
          </cell>
          <cell r="E65">
            <v>3.73496349617104E-4</v>
          </cell>
          <cell r="F65">
            <v>3.4829391741416798E-3</v>
          </cell>
          <cell r="G65">
            <v>0.34863497822676898</v>
          </cell>
        </row>
        <row r="66">
          <cell r="B66">
            <v>1.09631568449253E-3</v>
          </cell>
          <cell r="C66">
            <v>1.74109374025393E-6</v>
          </cell>
          <cell r="D66">
            <v>5.3573733287923497E-6</v>
          </cell>
          <cell r="E66">
            <v>1.85648710825339E-2</v>
          </cell>
          <cell r="F66">
            <v>8.1275864642790605E-3</v>
          </cell>
          <cell r="G66">
            <v>2.6823460046397601E-2</v>
          </cell>
        </row>
        <row r="67">
          <cell r="B67">
            <v>2.1963245541199799E-3</v>
          </cell>
          <cell r="C67">
            <v>3.4791810886842901E-6</v>
          </cell>
          <cell r="D67">
            <v>1.0279673449250101E-5</v>
          </cell>
          <cell r="E67">
            <v>2.7317352146264299E-2</v>
          </cell>
          <cell r="F67">
            <v>4.99234287279961E-2</v>
          </cell>
          <cell r="G67">
            <v>8.0325811704809097E-2</v>
          </cell>
        </row>
        <row r="68">
          <cell r="B68">
            <v>2.1958032460133699E-3</v>
          </cell>
          <cell r="C68">
            <v>3.4783883289549501E-6</v>
          </cell>
          <cell r="D68">
            <v>1.0156105168889181E-5</v>
          </cell>
          <cell r="E68">
            <v>2.7761102586790098E-2</v>
          </cell>
          <cell r="F68">
            <v>5.4727625124135204E-2</v>
          </cell>
          <cell r="G68">
            <v>7.8034495222500999E-2</v>
          </cell>
        </row>
        <row r="69">
          <cell r="B69">
            <v>1.09995971683976E-3</v>
          </cell>
          <cell r="C69">
            <v>1.74504643044368E-6</v>
          </cell>
          <cell r="D69">
            <v>5.3262419165507602E-6</v>
          </cell>
          <cell r="E69">
            <v>1.8446510735772199E-2</v>
          </cell>
          <cell r="F69">
            <v>2.9727165398750099E-2</v>
          </cell>
          <cell r="G69">
            <v>4.3589057682686998E-2</v>
          </cell>
        </row>
      </sheetData>
      <sheetData sheetId="37"/>
      <sheetData sheetId="38"/>
      <sheetData sheetId="39"/>
      <sheetData sheetId="40"/>
      <sheetData sheetId="41"/>
      <sheetData sheetId="42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9.4158670760717425E-5</v>
          </cell>
        </row>
      </sheetData>
      <sheetData sheetId="43">
        <row r="5">
          <cell r="B5">
            <v>0.78912345640983284</v>
          </cell>
          <cell r="C5">
            <v>0.63724571677825559</v>
          </cell>
          <cell r="D5">
            <v>0.70633905795853302</v>
          </cell>
          <cell r="E5">
            <v>0.77952785239238054</v>
          </cell>
          <cell r="F5">
            <v>0.46675780749909823</v>
          </cell>
          <cell r="G5">
            <v>0.27945252453637898</v>
          </cell>
        </row>
        <row r="12">
          <cell r="B12">
            <v>0.13344961950470954</v>
          </cell>
          <cell r="C12">
            <v>0.21808137897829813</v>
          </cell>
          <cell r="D12">
            <v>0.21884515964351098</v>
          </cell>
          <cell r="E12">
            <v>0.1886782235643133</v>
          </cell>
          <cell r="F12">
            <v>2.8881438668133444E-5</v>
          </cell>
          <cell r="G12">
            <v>1.1051492423762935E-5</v>
          </cell>
        </row>
        <row r="19">
          <cell r="B19">
            <v>1.3280165299092226</v>
          </cell>
          <cell r="C19">
            <v>4.3847773299538249</v>
          </cell>
          <cell r="D19">
            <v>4.3847772214133682</v>
          </cell>
          <cell r="E19">
            <v>4.3847714098164392</v>
          </cell>
          <cell r="F19">
            <v>6.0700409148981853</v>
          </cell>
          <cell r="G19">
            <v>9.4405674663003385</v>
          </cell>
        </row>
        <row r="20">
          <cell r="B20">
            <v>5.6294229303150836</v>
          </cell>
          <cell r="C20">
            <v>6.2382414147700818</v>
          </cell>
          <cell r="D20">
            <v>6.0290666557331196</v>
          </cell>
          <cell r="E20">
            <v>6.2187680839994064</v>
          </cell>
          <cell r="F20">
            <v>10.20414258689587</v>
          </cell>
          <cell r="G20">
            <v>11.955787664584893</v>
          </cell>
        </row>
        <row r="21">
          <cell r="B21">
            <v>0</v>
          </cell>
          <cell r="C21">
            <v>7.8865146837617245E-5</v>
          </cell>
          <cell r="D21">
            <v>2.1096030541520696E-4</v>
          </cell>
          <cell r="E21">
            <v>4.8898874332044696E-3</v>
          </cell>
          <cell r="F21">
            <v>6.3324904049362063</v>
          </cell>
          <cell r="G21">
            <v>6.3324540033698904</v>
          </cell>
        </row>
        <row r="28">
          <cell r="B28">
            <v>3.7097584070791318E-3</v>
          </cell>
          <cell r="C28">
            <v>5.0745656094483751E-3</v>
          </cell>
          <cell r="D28">
            <v>5.2327682831193158E-3</v>
          </cell>
          <cell r="E28">
            <v>7.5739463314957326E-3</v>
          </cell>
          <cell r="F28">
            <v>7.2433461616241175</v>
          </cell>
          <cell r="G28">
            <v>14.076914209734325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3.1910112330657381E-5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3.5998459787850856E-5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2.6978999344784427E-5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4.8600884684376338</v>
          </cell>
        </row>
        <row r="38">
          <cell r="B38">
            <v>1.2890839341673759</v>
          </cell>
          <cell r="C38">
            <v>4.8202751670313351</v>
          </cell>
          <cell r="D38">
            <v>4.8203393942055319</v>
          </cell>
          <cell r="E38">
            <v>5.706018053142385</v>
          </cell>
          <cell r="F38">
            <v>12.673347094679746</v>
          </cell>
          <cell r="G38">
            <v>15.544887567279712</v>
          </cell>
        </row>
        <row r="39">
          <cell r="B39">
            <v>1.1764831598630363</v>
          </cell>
          <cell r="C39">
            <v>4.3992267761689625</v>
          </cell>
          <cell r="D39">
            <v>4.3992853931347309</v>
          </cell>
          <cell r="E39">
            <v>5.2076005072023959</v>
          </cell>
          <cell r="F39">
            <v>11.566337180069118</v>
          </cell>
          <cell r="G39">
            <v>14.187050168057015</v>
          </cell>
        </row>
      </sheetData>
      <sheetData sheetId="44">
        <row r="3">
          <cell r="B3">
            <v>48.063397652170998</v>
          </cell>
          <cell r="C3">
            <v>50.716997099271047</v>
          </cell>
          <cell r="D3">
            <v>52.134521364236036</v>
          </cell>
          <cell r="E3">
            <v>53.585507595722071</v>
          </cell>
          <cell r="F3">
            <v>55.066399635325354</v>
          </cell>
          <cell r="G3">
            <v>56.762926517655096</v>
          </cell>
        </row>
        <row r="6">
          <cell r="B6">
            <v>0</v>
          </cell>
          <cell r="C6">
            <v>4.8943187014452754</v>
          </cell>
          <cell r="D6">
            <v>4.8944153162661532</v>
          </cell>
          <cell r="E6">
            <v>14.46626122870841</v>
          </cell>
          <cell r="F6">
            <v>27.384518768276493</v>
          </cell>
          <cell r="G6">
            <v>38.377921677815166</v>
          </cell>
        </row>
        <row r="11">
          <cell r="B11">
            <v>60.070118842059856</v>
          </cell>
          <cell r="C11">
            <v>62.576458039865372</v>
          </cell>
          <cell r="D11">
            <v>64.081098172085689</v>
          </cell>
          <cell r="E11">
            <v>62.871992197184753</v>
          </cell>
          <cell r="F11">
            <v>62.674826529617377</v>
          </cell>
          <cell r="G11">
            <v>62.838188072453924</v>
          </cell>
        </row>
        <row r="18">
          <cell r="B18">
            <v>3.5600697668375831</v>
          </cell>
          <cell r="C18">
            <v>3.4647336066615742</v>
          </cell>
          <cell r="D18">
            <v>1.3678960371944753</v>
          </cell>
          <cell r="E18">
            <v>9.6632042803424385E-5</v>
          </cell>
          <cell r="F18">
            <v>1.1673944620316094E-4</v>
          </cell>
          <cell r="G18">
            <v>8.4194731248640261E-6</v>
          </cell>
        </row>
        <row r="19">
          <cell r="B19">
            <v>12.728685381169104</v>
          </cell>
          <cell r="C19">
            <v>13.638441840349603</v>
          </cell>
          <cell r="D19">
            <v>13.447828334474124</v>
          </cell>
          <cell r="E19">
            <v>14.880292409060052</v>
          </cell>
          <cell r="F19">
            <v>13.838525519441689</v>
          </cell>
          <cell r="G19">
            <v>17.230803881262947</v>
          </cell>
        </row>
        <row r="21">
          <cell r="B21">
            <v>7.7980838034548032</v>
          </cell>
          <cell r="C21">
            <v>8.0802269955565205</v>
          </cell>
          <cell r="D21">
            <v>5.6084369231319844</v>
          </cell>
          <cell r="E21">
            <v>5.5458112110638282</v>
          </cell>
          <cell r="F21">
            <v>5.5100699714478365</v>
          </cell>
          <cell r="G21">
            <v>6.3880622783927664E-5</v>
          </cell>
        </row>
        <row r="22">
          <cell r="B22">
            <v>6.7733905891750074E-2</v>
          </cell>
          <cell r="C22">
            <v>8.5512491860011752E-2</v>
          </cell>
          <cell r="D22">
            <v>8.6919081944357685E-2</v>
          </cell>
          <cell r="E22">
            <v>2.3297828556720694</v>
          </cell>
          <cell r="F22">
            <v>2.3466738001341261</v>
          </cell>
          <cell r="G22">
            <v>2.3649467320251465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1.9094833568839322</v>
          </cell>
          <cell r="G23">
            <v>3.4488032210741442</v>
          </cell>
        </row>
        <row r="24">
          <cell r="B24">
            <v>0.74855646126830888</v>
          </cell>
          <cell r="C24">
            <v>0.94975950661523145</v>
          </cell>
          <cell r="D24">
            <v>1.1739432221588626</v>
          </cell>
          <cell r="E24">
            <v>2.4619002251127622</v>
          </cell>
          <cell r="F24">
            <v>5.4817569506188235</v>
          </cell>
          <cell r="G24">
            <v>5.5656480312363836</v>
          </cell>
        </row>
        <row r="33">
          <cell r="B33">
            <v>12.006721189888852</v>
          </cell>
          <cell r="C33">
            <v>12.710071939849771</v>
          </cell>
          <cell r="D33">
            <v>12.79720445744031</v>
          </cell>
          <cell r="E33">
            <v>13.350175077478859</v>
          </cell>
          <cell r="F33">
            <v>14.556624007925258</v>
          </cell>
          <cell r="G33">
            <v>14.440657125884893</v>
          </cell>
        </row>
        <row r="34">
          <cell r="B34">
            <v>8.8978792214266686</v>
          </cell>
          <cell r="C34">
            <v>8.1053310294161172</v>
          </cell>
          <cell r="D34">
            <v>7.9568675634244599</v>
          </cell>
          <cell r="E34">
            <v>5.7617729260986685</v>
          </cell>
          <cell r="F34">
            <v>2.3885137512986696</v>
          </cell>
          <cell r="G34">
            <v>1.5219917062954575E-5</v>
          </cell>
        </row>
        <row r="35">
          <cell r="B35">
            <v>2.7300341378235147</v>
          </cell>
          <cell r="C35">
            <v>2.718265464535957</v>
          </cell>
          <cell r="D35">
            <v>7.2410660111872967E-3</v>
          </cell>
          <cell r="E35">
            <v>1.5291007507858736E-4</v>
          </cell>
          <cell r="F35">
            <v>1.5126832176283282E-4</v>
          </cell>
          <cell r="G35">
            <v>0</v>
          </cell>
        </row>
        <row r="36">
          <cell r="B36">
            <v>0</v>
          </cell>
          <cell r="C36">
            <v>0</v>
          </cell>
          <cell r="D36">
            <v>1.3071053079341047E-4</v>
          </cell>
          <cell r="E36">
            <v>0.14949327034162757</v>
          </cell>
          <cell r="F36">
            <v>0.1628337516569473</v>
          </cell>
          <cell r="G36">
            <v>0.16250388387120904</v>
          </cell>
        </row>
        <row r="37">
          <cell r="B37">
            <v>35.242229540348696</v>
          </cell>
          <cell r="C37">
            <v>29.684629305311443</v>
          </cell>
          <cell r="D37">
            <v>33.525946617627007</v>
          </cell>
          <cell r="E37">
            <v>22.959625793533458</v>
          </cell>
          <cell r="F37">
            <v>5.4219827701332672</v>
          </cell>
          <cell r="G37">
            <v>4.1095779844456174E-5</v>
          </cell>
        </row>
        <row r="38">
          <cell r="B38">
            <v>0.31014357193332959</v>
          </cell>
          <cell r="C38">
            <v>3.4053255984378403E-5</v>
          </cell>
          <cell r="D38">
            <v>3.912626469432765</v>
          </cell>
          <cell r="E38">
            <v>3.9194030101148805</v>
          </cell>
          <cell r="F38">
            <v>3.8040150096208603</v>
          </cell>
          <cell r="G38">
            <v>3.8236002208234945</v>
          </cell>
        </row>
        <row r="39">
          <cell r="B39">
            <v>0.43678897104158904</v>
          </cell>
          <cell r="C39">
            <v>0.5520809943217172</v>
          </cell>
          <cell r="D39">
            <v>0.55435557621463849</v>
          </cell>
          <cell r="E39">
            <v>0.55434620857990757</v>
          </cell>
          <cell r="F39">
            <v>0.5543435267172806</v>
          </cell>
          <cell r="G39">
            <v>0.55434299213224747</v>
          </cell>
        </row>
        <row r="55">
          <cell r="B55">
            <v>9.8139484684033409</v>
          </cell>
          <cell r="C55">
            <v>10.335097277068554</v>
          </cell>
          <cell r="D55">
            <v>10.33508567887772</v>
          </cell>
          <cell r="E55">
            <v>10.335087010165942</v>
          </cell>
          <cell r="F55">
            <v>10.335082862178284</v>
          </cell>
          <cell r="G55">
            <v>10.335078867270193</v>
          </cell>
        </row>
        <row r="56">
          <cell r="B56">
            <v>1.1082698634682644</v>
          </cell>
          <cell r="C56">
            <v>1.4008364961281004</v>
          </cell>
          <cell r="D56">
            <v>1.7219070883657117</v>
          </cell>
          <cell r="E56">
            <v>3.5790331194430296</v>
          </cell>
          <cell r="F56">
            <v>7.8368884187357644</v>
          </cell>
          <cell r="G56">
            <v>7.8368934866095081</v>
          </cell>
        </row>
        <row r="57">
          <cell r="B57">
            <v>6.9177641519367192</v>
          </cell>
          <cell r="C57">
            <v>6.3117824523768373</v>
          </cell>
          <cell r="D57">
            <v>6.2112846985234782</v>
          </cell>
          <cell r="E57">
            <v>4.6329601972967112</v>
          </cell>
          <cell r="F57">
            <v>2.0156657298517171</v>
          </cell>
          <cell r="G57">
            <v>0.12941858330574157</v>
          </cell>
        </row>
        <row r="58">
          <cell r="B58">
            <v>1.845844331435927</v>
          </cell>
          <cell r="C58">
            <v>1.8458381636931414</v>
          </cell>
          <cell r="D58">
            <v>4.9488160520208147E-3</v>
          </cell>
          <cell r="E58">
            <v>1.0562263436053422E-4</v>
          </cell>
          <cell r="F58">
            <v>1.0670089246345823E-4</v>
          </cell>
          <cell r="G58">
            <v>0</v>
          </cell>
        </row>
        <row r="59">
          <cell r="B59">
            <v>28.619778783708703</v>
          </cell>
          <cell r="C59">
            <v>23.917169406183667</v>
          </cell>
          <cell r="D59">
            <v>30.204126320019078</v>
          </cell>
          <cell r="E59">
            <v>21.732405739767835</v>
          </cell>
          <cell r="F59">
            <v>7.7229005719831232</v>
          </cell>
          <cell r="G59">
            <v>3.1985335638401677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1.4569990124936936E-3</v>
          </cell>
          <cell r="G60">
            <v>1.4565623555194461E-3</v>
          </cell>
        </row>
        <row r="61">
          <cell r="B61">
            <v>2.3674463949469944</v>
          </cell>
          <cell r="C61">
            <v>2.3075125820366078</v>
          </cell>
          <cell r="D61">
            <v>0.91307060482731117</v>
          </cell>
          <cell r="E61">
            <v>6.4743468678294389E-5</v>
          </cell>
          <cell r="F61">
            <v>7.879912618713362E-5</v>
          </cell>
          <cell r="G61">
            <v>5.7252417249075424E-6</v>
          </cell>
        </row>
        <row r="62">
          <cell r="B62">
            <v>5.185075046253953</v>
          </cell>
          <cell r="C62">
            <v>5.5675677554199599</v>
          </cell>
          <cell r="D62">
            <v>5.6657297698186806</v>
          </cell>
          <cell r="E62">
            <v>7.8561557769398274</v>
          </cell>
          <cell r="F62">
            <v>8.5392790635211071</v>
          </cell>
          <cell r="G62">
            <v>11.561564207350854</v>
          </cell>
        </row>
        <row r="63">
          <cell r="B63">
            <v>6.5822924397588274</v>
          </cell>
          <cell r="C63">
            <v>7.0678534843652461</v>
          </cell>
          <cell r="D63">
            <v>6.8330384772401418</v>
          </cell>
          <cell r="E63">
            <v>6.0476437984275373</v>
          </cell>
          <cell r="F63">
            <v>5.5499915384669114</v>
          </cell>
          <cell r="G63">
            <v>4.4730726076133882</v>
          </cell>
        </row>
        <row r="64">
          <cell r="B64">
            <v>5.3111705173667421</v>
          </cell>
          <cell r="C64">
            <v>6.2669644138642679</v>
          </cell>
          <cell r="D64">
            <v>5.794814445405704</v>
          </cell>
          <cell r="E64">
            <v>5.8968593300387395</v>
          </cell>
          <cell r="F64">
            <v>3.466389336658521</v>
          </cell>
          <cell r="G64">
            <v>1.6144546341263935E-3</v>
          </cell>
        </row>
        <row r="65">
          <cell r="B65">
            <v>0.46154164846002838</v>
          </cell>
          <cell r="C65">
            <v>0.54458380531043937</v>
          </cell>
          <cell r="D65">
            <v>0.54461258844008897</v>
          </cell>
          <cell r="E65">
            <v>0.54461305540051896</v>
          </cell>
          <cell r="F65">
            <v>3.0516079722236129</v>
          </cell>
          <cell r="G65">
            <v>4.1523965567269139</v>
          </cell>
        </row>
        <row r="66">
          <cell r="B66">
            <v>4.1173882482241346</v>
          </cell>
          <cell r="C66">
            <v>4.2663598536538423</v>
          </cell>
          <cell r="D66">
            <v>2.9612546954136878</v>
          </cell>
          <cell r="E66">
            <v>2.9281883194416984</v>
          </cell>
          <cell r="F66">
            <v>2.9093169449244569</v>
          </cell>
          <cell r="G66">
            <v>3.4751058794456676E-5</v>
          </cell>
        </row>
        <row r="67">
          <cell r="B67">
            <v>6.7733905891750074E-2</v>
          </cell>
          <cell r="C67">
            <v>8.5512491860011752E-2</v>
          </cell>
          <cell r="D67">
            <v>8.6919081944357685E-2</v>
          </cell>
          <cell r="E67">
            <v>2.3297828556720694</v>
          </cell>
          <cell r="F67">
            <v>2.3466738001341261</v>
          </cell>
          <cell r="G67">
            <v>2.3649467320251465</v>
          </cell>
        </row>
        <row r="68">
          <cell r="B68">
            <v>0.31055695841056963</v>
          </cell>
          <cell r="C68">
            <v>0.3925295869627406</v>
          </cell>
          <cell r="D68">
            <v>0.39414681468860852</v>
          </cell>
          <cell r="E68">
            <v>0.39414015430031435</v>
          </cell>
          <cell r="F68">
            <v>0.39413824749598619</v>
          </cell>
          <cell r="G68">
            <v>0.39912695433521789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1.3133464522714562</v>
          </cell>
          <cell r="G69">
            <v>2.7202974349687912</v>
          </cell>
        </row>
        <row r="70">
          <cell r="B70">
            <v>0</v>
          </cell>
          <cell r="C70">
            <v>4.0437024752062882</v>
          </cell>
          <cell r="D70">
            <v>4.043782298694329</v>
          </cell>
          <cell r="E70">
            <v>10.402664028530474</v>
          </cell>
          <cell r="F70">
            <v>21.753381745547351</v>
          </cell>
          <cell r="G70">
            <v>30.887635614246523</v>
          </cell>
        </row>
        <row r="71">
          <cell r="B71">
            <v>72.708810758265969</v>
          </cell>
          <cell r="C71">
            <v>74.353310244129702</v>
          </cell>
          <cell r="D71">
            <v>75.714721378310912</v>
          </cell>
          <cell r="E71">
            <v>76.67970375152774</v>
          </cell>
          <cell r="F71">
            <v>77.236305183023575</v>
          </cell>
          <cell r="G71">
            <v>78.062076101582605</v>
          </cell>
        </row>
      </sheetData>
      <sheetData sheetId="45">
        <row r="3">
          <cell r="B3">
            <v>56.994774574912441</v>
          </cell>
          <cell r="C3">
            <v>58.701900290358104</v>
          </cell>
          <cell r="D3">
            <v>58.514864717380391</v>
          </cell>
          <cell r="E3">
            <v>54.454962800380699</v>
          </cell>
          <cell r="F3">
            <v>47.552639973438723</v>
          </cell>
          <cell r="G3">
            <v>40.923245355801711</v>
          </cell>
        </row>
        <row r="6">
          <cell r="B6">
            <v>0</v>
          </cell>
          <cell r="C6">
            <v>9.1176408203205348</v>
          </cell>
          <cell r="D6">
            <v>2.3654902266434665</v>
          </cell>
          <cell r="E6">
            <v>5.3125193557268569</v>
          </cell>
          <cell r="F6">
            <v>10.00122897285198</v>
          </cell>
          <cell r="G6">
            <v>15.095468780184204</v>
          </cell>
        </row>
        <row r="11">
          <cell r="B11">
            <v>60.950102394846873</v>
          </cell>
          <cell r="C11">
            <v>60.772389041504702</v>
          </cell>
          <cell r="D11">
            <v>61.785155995381203</v>
          </cell>
          <cell r="E11">
            <v>59.347803089609201</v>
          </cell>
          <cell r="F11">
            <v>54.765824409488985</v>
          </cell>
          <cell r="G11">
            <v>47.456833681702022</v>
          </cell>
        </row>
        <row r="12">
          <cell r="B12">
            <v>30.256640504322231</v>
          </cell>
          <cell r="C12">
            <v>23.4115786430492</v>
          </cell>
          <cell r="D12">
            <v>25.200765347526065</v>
          </cell>
          <cell r="E12">
            <v>12.606506173861545</v>
          </cell>
          <cell r="F12">
            <v>2.4850446970705522</v>
          </cell>
          <cell r="G12">
            <v>4.3048926544186439E-5</v>
          </cell>
        </row>
        <row r="13">
          <cell r="B13">
            <v>0</v>
          </cell>
          <cell r="C13">
            <v>0</v>
          </cell>
          <cell r="D13">
            <v>1.237758169815101E-4</v>
          </cell>
          <cell r="E13">
            <v>9.3771339589716462E-4</v>
          </cell>
          <cell r="F13">
            <v>8.8755675456996148E-4</v>
          </cell>
          <cell r="G13">
            <v>6.9758611029538412E-2</v>
          </cell>
        </row>
        <row r="14">
          <cell r="B14">
            <v>25.261738105402948</v>
          </cell>
          <cell r="C14">
            <v>24.933971650309065</v>
          </cell>
          <cell r="D14">
            <v>22.800023062569679</v>
          </cell>
          <cell r="E14">
            <v>15.406815648691028</v>
          </cell>
          <cell r="F14">
            <v>3.6237190743070471</v>
          </cell>
          <cell r="G14">
            <v>0.13890235490290673</v>
          </cell>
        </row>
        <row r="15">
          <cell r="B15">
            <v>0.28696018176665439</v>
          </cell>
          <cell r="C15">
            <v>1.815823283211444</v>
          </cell>
          <cell r="D15">
            <v>0.2077792915801564</v>
          </cell>
          <cell r="E15">
            <v>8.1480548468848731E-4</v>
          </cell>
          <cell r="F15">
            <v>1.4157227086276303</v>
          </cell>
          <cell r="G15">
            <v>2.8103331963303102</v>
          </cell>
        </row>
        <row r="16">
          <cell r="B16">
            <v>1.4022937085356122</v>
          </cell>
          <cell r="C16">
            <v>1.5372438451376709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>
            <v>7.7269177686185806</v>
          </cell>
          <cell r="C17">
            <v>8.3697192040996118</v>
          </cell>
          <cell r="D17">
            <v>6.0268155477090595</v>
          </cell>
          <cell r="E17">
            <v>9.5166990407696819</v>
          </cell>
          <cell r="F17">
            <v>9.9990344489427674</v>
          </cell>
          <cell r="G17">
            <v>8.2479007706170542</v>
          </cell>
        </row>
        <row r="19">
          <cell r="B19">
            <v>0.62701647637536329</v>
          </cell>
          <cell r="C19">
            <v>0.68737308408018438</v>
          </cell>
          <cell r="D19">
            <v>0.57113411202511877</v>
          </cell>
          <cell r="E19">
            <v>0.8182813185024822</v>
          </cell>
          <cell r="F19">
            <v>1.1490423746646188</v>
          </cell>
          <cell r="G19">
            <v>1.2626302687544646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2.774661375715257E-3</v>
          </cell>
          <cell r="F20">
            <v>5.3063983769163477E-4</v>
          </cell>
          <cell r="G20">
            <v>1.3725659514700866E-2</v>
          </cell>
        </row>
        <row r="21">
          <cell r="B21">
            <v>2.9296545745124787</v>
          </cell>
          <cell r="C21">
            <v>3.1924797565363603</v>
          </cell>
          <cell r="D21">
            <v>5.2434961865970822</v>
          </cell>
          <cell r="E21">
            <v>11.914690208757357</v>
          </cell>
          <cell r="F21">
            <v>21.232531028770627</v>
          </cell>
          <cell r="G21">
            <v>20.91268858427939</v>
          </cell>
        </row>
        <row r="28">
          <cell r="B28">
            <v>3.9553278199344319</v>
          </cell>
          <cell r="C28">
            <v>2.0704887511466015</v>
          </cell>
          <cell r="D28">
            <v>3.2702912780008093</v>
          </cell>
          <cell r="E28">
            <v>4.8928402892285039</v>
          </cell>
          <cell r="F28">
            <v>7.2131844360502591</v>
          </cell>
          <cell r="G28">
            <v>6.5335883259003076</v>
          </cell>
        </row>
        <row r="47">
          <cell r="B47">
            <v>4.2613157447454233</v>
          </cell>
          <cell r="C47">
            <v>4.6176939335615232</v>
          </cell>
          <cell r="D47">
            <v>6.3149560739581245</v>
          </cell>
          <cell r="E47">
            <v>14.08319319185528</v>
          </cell>
          <cell r="F47">
            <v>24.740559688530791</v>
          </cell>
          <cell r="G47">
            <v>24.322809648630567</v>
          </cell>
        </row>
        <row r="48">
          <cell r="B48">
            <v>24.843074923892026</v>
          </cell>
          <cell r="C48">
            <v>19.260807104364545</v>
          </cell>
          <cell r="D48">
            <v>19.866533182813896</v>
          </cell>
          <cell r="E48">
            <v>10.315030513938718</v>
          </cell>
          <cell r="F48">
            <v>2.0339148270735352</v>
          </cell>
          <cell r="G48">
            <v>5.729522211378598E-2</v>
          </cell>
        </row>
        <row r="49">
          <cell r="B49">
            <v>24.189724974022322</v>
          </cell>
          <cell r="C49">
            <v>25.326933500886469</v>
          </cell>
          <cell r="D49">
            <v>18.570956807508022</v>
          </cell>
          <cell r="E49">
            <v>11.578184081278469</v>
          </cell>
          <cell r="F49">
            <v>1.9604526804658329</v>
          </cell>
          <cell r="G49">
            <v>0.79289834660740854</v>
          </cell>
        </row>
        <row r="50">
          <cell r="B50">
            <v>0</v>
          </cell>
          <cell r="C50">
            <v>0</v>
          </cell>
          <cell r="D50">
            <v>2.3000541767972393</v>
          </cell>
          <cell r="E50">
            <v>4.1686444424919564</v>
          </cell>
          <cell r="F50">
            <v>6.0878347950840128</v>
          </cell>
          <cell r="G50">
            <v>4.9131943937966023</v>
          </cell>
        </row>
        <row r="51">
          <cell r="B51">
            <v>2.0957362503386268</v>
          </cell>
          <cell r="C51">
            <v>2.2700808988660732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B52">
            <v>5.5539123405937643</v>
          </cell>
          <cell r="C52">
            <v>6.0159411131925431</v>
          </cell>
          <cell r="D52">
            <v>4.9480702905660534</v>
          </cell>
          <cell r="E52">
            <v>7.8931729194477098</v>
          </cell>
          <cell r="F52">
            <v>8.2932230592674792</v>
          </cell>
          <cell r="G52">
            <v>6.8408286030721479</v>
          </cell>
        </row>
        <row r="53">
          <cell r="B53">
            <v>6.1735540115053968</v>
          </cell>
          <cell r="C53">
            <v>7.1868678505339076</v>
          </cell>
          <cell r="D53">
            <v>6.7621188648358448</v>
          </cell>
          <cell r="E53">
            <v>5.7644991065024405</v>
          </cell>
          <cell r="F53">
            <v>3.0262441105405995</v>
          </cell>
          <cell r="G53">
            <v>1.314962640452022</v>
          </cell>
        </row>
        <row r="54">
          <cell r="B54">
            <v>1.8770820836817566</v>
          </cell>
          <cell r="C54">
            <v>2.160090934317219</v>
          </cell>
          <cell r="D54">
            <v>0.19132683263036365</v>
          </cell>
          <cell r="E54">
            <v>0.16737288443314946</v>
          </cell>
          <cell r="F54">
            <v>8.6688422246422939E-2</v>
          </cell>
          <cell r="G54">
            <v>3.0259383960476668E-2</v>
          </cell>
        </row>
        <row r="55">
          <cell r="B55">
            <v>0.62701647637536329</v>
          </cell>
          <cell r="C55">
            <v>0.68737308408018438</v>
          </cell>
          <cell r="D55">
            <v>0.57113411202511877</v>
          </cell>
          <cell r="E55">
            <v>0.8182813185024822</v>
          </cell>
          <cell r="F55">
            <v>1.1490423746646188</v>
          </cell>
          <cell r="G55">
            <v>1.2626302687544646</v>
          </cell>
        </row>
        <row r="56">
          <cell r="B56">
            <v>1.2230805725847629</v>
          </cell>
          <cell r="C56">
            <v>1.3407840817290759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</row>
        <row r="58">
          <cell r="B58">
            <v>0</v>
          </cell>
          <cell r="C58">
            <v>9.1176408203205348</v>
          </cell>
          <cell r="D58">
            <v>2.3654902266434665</v>
          </cell>
          <cell r="E58">
            <v>5.3125193557268569</v>
          </cell>
          <cell r="F58">
            <v>10.00122897285198</v>
          </cell>
          <cell r="G58">
            <v>15.095468780184204</v>
          </cell>
        </row>
        <row r="59">
          <cell r="B59">
            <v>73.238593195592046</v>
          </cell>
          <cell r="C59">
            <v>78.574639557173171</v>
          </cell>
          <cell r="D59">
            <v>62.412524585352223</v>
          </cell>
          <cell r="E59">
            <v>60.398493380378106</v>
          </cell>
          <cell r="F59">
            <v>57.583168127903789</v>
          </cell>
          <cell r="G59">
            <v>54.76695031684541</v>
          </cell>
        </row>
      </sheetData>
      <sheetData sheetId="46">
        <row r="3">
          <cell r="B3">
            <v>44.576910279978513</v>
          </cell>
          <cell r="C3">
            <v>44.861188871426826</v>
          </cell>
          <cell r="D3">
            <v>49.523423564384593</v>
          </cell>
          <cell r="E3">
            <v>46.365211318818822</v>
          </cell>
          <cell r="F3">
            <v>40.740292483770993</v>
          </cell>
          <cell r="G3">
            <v>34.487660681241046</v>
          </cell>
        </row>
        <row r="10">
          <cell r="B10">
            <v>0.10521915041379323</v>
          </cell>
          <cell r="C10">
            <v>8.5253130367147048</v>
          </cell>
          <cell r="D10">
            <v>5.1471340367997902</v>
          </cell>
          <cell r="E10">
            <v>11.858779907443067</v>
          </cell>
          <cell r="F10">
            <v>22.358024911603756</v>
          </cell>
          <cell r="G10">
            <v>32.929458775903854</v>
          </cell>
        </row>
        <row r="15">
          <cell r="B15">
            <v>69.470269222058675</v>
          </cell>
          <cell r="C15">
            <v>70.028562463063054</v>
          </cell>
          <cell r="D15">
            <v>70.551896261027053</v>
          </cell>
          <cell r="E15">
            <v>69.618719053938435</v>
          </cell>
          <cell r="F15">
            <v>67.022143639424229</v>
          </cell>
          <cell r="G15">
            <v>57.32049340508204</v>
          </cell>
        </row>
        <row r="16">
          <cell r="B16">
            <v>60.231933613930167</v>
          </cell>
          <cell r="C16">
            <v>50.974975477872746</v>
          </cell>
          <cell r="D16">
            <v>48.498313368098877</v>
          </cell>
          <cell r="E16">
            <v>21.347685824256729</v>
          </cell>
          <cell r="F16">
            <v>3.1741854630984911</v>
          </cell>
          <cell r="G16">
            <v>6.4973999166008248E-5</v>
          </cell>
        </row>
        <row r="17">
          <cell r="B17">
            <v>0</v>
          </cell>
          <cell r="C17">
            <v>0</v>
          </cell>
          <cell r="D17">
            <v>1.2396172531500919E-4</v>
          </cell>
          <cell r="E17">
            <v>9.4381824607408387E-4</v>
          </cell>
          <cell r="F17">
            <v>9.0418994156269371E-4</v>
          </cell>
          <cell r="G17">
            <v>0.14995143714857612</v>
          </cell>
        </row>
        <row r="18">
          <cell r="B18">
            <v>46.69326191903027</v>
          </cell>
          <cell r="C18">
            <v>45.827693247344023</v>
          </cell>
          <cell r="D18">
            <v>45.838244238065926</v>
          </cell>
          <cell r="E18">
            <v>31.40038720524667</v>
          </cell>
          <cell r="F18">
            <v>7.6540500774882387</v>
          </cell>
          <cell r="G18">
            <v>0.15419772459895625</v>
          </cell>
        </row>
        <row r="19">
          <cell r="B19">
            <v>0.30871992789260305</v>
          </cell>
          <cell r="C19">
            <v>2.4433471516143812</v>
          </cell>
          <cell r="D19">
            <v>0.23295360339971311</v>
          </cell>
          <cell r="E19">
            <v>7.0622568049639664E-4</v>
          </cell>
          <cell r="F19">
            <v>3.1411288545822376</v>
          </cell>
          <cell r="G19">
            <v>6.0940313755428335</v>
          </cell>
        </row>
        <row r="20">
          <cell r="B20">
            <v>0.10001287977040883</v>
          </cell>
          <cell r="C20">
            <v>0.10000636179598643</v>
          </cell>
          <cell r="D20">
            <v>2.6343309006395383E-2</v>
          </cell>
          <cell r="E20">
            <v>0</v>
          </cell>
          <cell r="F20">
            <v>0</v>
          </cell>
          <cell r="G20">
            <v>0</v>
          </cell>
        </row>
        <row r="21">
          <cell r="B21">
            <v>8.3698820775409253</v>
          </cell>
          <cell r="C21">
            <v>9.6737777950197668</v>
          </cell>
          <cell r="D21">
            <v>8.4407231281420145</v>
          </cell>
          <cell r="E21">
            <v>14.377440285589856</v>
          </cell>
          <cell r="F21">
            <v>14.615579981836589</v>
          </cell>
          <cell r="G21">
            <v>12.341648641924156</v>
          </cell>
        </row>
        <row r="22">
          <cell r="B22">
            <v>16.991374435233876</v>
          </cell>
          <cell r="C22">
            <v>16.774421813549992</v>
          </cell>
          <cell r="D22">
            <v>17.162967006697617</v>
          </cell>
          <cell r="E22">
            <v>13.649937370231596</v>
          </cell>
          <cell r="F22">
            <v>7.8656794282375859</v>
          </cell>
          <cell r="G22">
            <v>3.4539008096977115</v>
          </cell>
        </row>
        <row r="23">
          <cell r="B23">
            <v>2.5068460525822482</v>
          </cell>
          <cell r="C23">
            <v>2.9281871306673763</v>
          </cell>
          <cell r="D23">
            <v>1.0510994129721525</v>
          </cell>
          <cell r="E23">
            <v>1.560217068787181</v>
          </cell>
          <cell r="F23">
            <v>2.132702460369956</v>
          </cell>
          <cell r="G23">
            <v>2.404067572537119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2.8184277236389817E-3</v>
          </cell>
          <cell r="F24">
            <v>4.3501793102834735E-4</v>
          </cell>
          <cell r="G24">
            <v>3.2157337614952937E-2</v>
          </cell>
        </row>
        <row r="25">
          <cell r="B25">
            <v>15.195100757685315</v>
          </cell>
          <cell r="C25">
            <v>17.636544852008981</v>
          </cell>
          <cell r="D25">
            <v>27.513962667692816</v>
          </cell>
          <cell r="E25">
            <v>44.292485637452799</v>
          </cell>
          <cell r="F25">
            <v>62.27281896468542</v>
          </cell>
          <cell r="G25">
            <v>61.094532536150226</v>
          </cell>
        </row>
        <row r="26">
          <cell r="B26">
            <v>219.86740088572449</v>
          </cell>
          <cell r="C26">
            <v>216.38751629293625</v>
          </cell>
          <cell r="D26">
            <v>219.31662695682789</v>
          </cell>
          <cell r="E26">
            <v>196.25134091715347</v>
          </cell>
          <cell r="F26">
            <v>167.87962807759533</v>
          </cell>
          <cell r="G26">
            <v>143.04504581429575</v>
          </cell>
        </row>
        <row r="102">
          <cell r="B102">
            <v>8.9081139346280516</v>
          </cell>
          <cell r="C102">
            <v>7.8827655756882002</v>
          </cell>
          <cell r="D102">
            <v>0.83176024456627584</v>
          </cell>
          <cell r="E102">
            <v>0.15059323714698991</v>
          </cell>
          <cell r="F102">
            <v>1.5030612352477339E-2</v>
          </cell>
          <cell r="G102">
            <v>8.2317749697809559E-3</v>
          </cell>
        </row>
        <row r="104">
          <cell r="B104">
            <v>19.060458892783231</v>
          </cell>
          <cell r="C104">
            <v>22.071880247940186</v>
          </cell>
          <cell r="D104">
            <v>33.861135058638006</v>
          </cell>
          <cell r="E104">
            <v>49.970693538751718</v>
          </cell>
          <cell r="F104">
            <v>64.177007239460835</v>
          </cell>
          <cell r="G104">
            <v>58.878695885260981</v>
          </cell>
        </row>
        <row r="105">
          <cell r="B105">
            <v>45.124463015104894</v>
          </cell>
          <cell r="C105">
            <v>38.717589896412377</v>
          </cell>
          <cell r="D105">
            <v>33.854027706068642</v>
          </cell>
          <cell r="E105">
            <v>15.570248792205529</v>
          </cell>
          <cell r="F105">
            <v>2.1170803537049041</v>
          </cell>
          <cell r="G105">
            <v>0.11105693934906968</v>
          </cell>
        </row>
        <row r="106">
          <cell r="B106">
            <v>36.569952289612701</v>
          </cell>
          <cell r="C106">
            <v>38.876137859676788</v>
          </cell>
          <cell r="D106">
            <v>31.435503037435272</v>
          </cell>
          <cell r="E106">
            <v>20.290138102575135</v>
          </cell>
          <cell r="F106">
            <v>3.5744780680141561</v>
          </cell>
          <cell r="G106">
            <v>1.4135908627666942</v>
          </cell>
        </row>
        <row r="107">
          <cell r="B107">
            <v>0</v>
          </cell>
          <cell r="C107">
            <v>0</v>
          </cell>
          <cell r="D107">
            <v>4.2609971960287787</v>
          </cell>
          <cell r="E107">
            <v>6.8192696568017173</v>
          </cell>
          <cell r="F107">
            <v>8.5655337765655055</v>
          </cell>
          <cell r="G107">
            <v>6.6226860465994513</v>
          </cell>
        </row>
        <row r="108">
          <cell r="B108">
            <v>7.2009273434694349E-2</v>
          </cell>
          <cell r="C108">
            <v>7.2004580493110273E-2</v>
          </cell>
          <cell r="D108">
            <v>2.1053609766708083E-2</v>
          </cell>
          <cell r="E108">
            <v>0</v>
          </cell>
          <cell r="F108">
            <v>0</v>
          </cell>
          <cell r="G108">
            <v>0</v>
          </cell>
        </row>
        <row r="109">
          <cell r="B109">
            <v>8.0226659797797639E-2</v>
          </cell>
          <cell r="C109">
            <v>7.3054573122069925E-3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>
            <v>6.5125624686484844</v>
          </cell>
          <cell r="C110">
            <v>7.6931194595978267</v>
          </cell>
          <cell r="D110">
            <v>5.9450874868765666</v>
          </cell>
          <cell r="E110">
            <v>9.9001331774307424</v>
          </cell>
          <cell r="F110">
            <v>9.6633271047285181</v>
          </cell>
          <cell r="G110">
            <v>7.8417106248160398</v>
          </cell>
        </row>
        <row r="111">
          <cell r="B111">
            <v>9.1311050273780303</v>
          </cell>
          <cell r="C111">
            <v>8.4584685211659352</v>
          </cell>
          <cell r="D111">
            <v>10.255455233993182</v>
          </cell>
          <cell r="E111">
            <v>8.1133818658094032</v>
          </cell>
          <cell r="F111">
            <v>4.5595084044133944</v>
          </cell>
          <cell r="G111">
            <v>2.0068373026773623</v>
          </cell>
        </row>
        <row r="112">
          <cell r="B112">
            <v>2.6969251919747599</v>
          </cell>
          <cell r="C112">
            <v>3.1682485130410951</v>
          </cell>
          <cell r="D112">
            <v>0.18893352844919992</v>
          </cell>
          <cell r="E112">
            <v>0.16196284438090819</v>
          </cell>
          <cell r="F112">
            <v>9.3731444446831388E-2</v>
          </cell>
          <cell r="G112">
            <v>3.6082077980068371E-2</v>
          </cell>
        </row>
        <row r="113">
          <cell r="B113">
            <v>0.78535802792239706</v>
          </cell>
          <cell r="C113">
            <v>0.94139176510574873</v>
          </cell>
          <cell r="D113">
            <v>3.7127996076808882E-2</v>
          </cell>
          <cell r="E113">
            <v>4.8105704217225438E-2</v>
          </cell>
          <cell r="F113">
            <v>5.1522806839060145E-2</v>
          </cell>
          <cell r="G113">
            <v>5.0101877206738962E-2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</row>
        <row r="116">
          <cell r="B116">
            <v>129.04639393169884</v>
          </cell>
          <cell r="C116">
            <v>136.41422491314819</v>
          </cell>
          <cell r="D116">
            <v>125.83821513469923</v>
          </cell>
          <cell r="E116">
            <v>122.88330682676245</v>
          </cell>
          <cell r="F116">
            <v>115.17524472212943</v>
          </cell>
          <cell r="G116">
            <v>109.89845216753005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</row>
        <row r="224">
          <cell r="B224">
            <v>26.978548157821823</v>
          </cell>
          <cell r="C224">
            <v>25.929327291427619</v>
          </cell>
          <cell r="D224">
            <v>21.71709166420581</v>
          </cell>
          <cell r="E224">
            <v>22.105683074436541</v>
          </cell>
          <cell r="F224">
            <v>25.94165857186163</v>
          </cell>
          <cell r="G224">
            <v>26.487181273351748</v>
          </cell>
        </row>
        <row r="231">
          <cell r="B231">
            <v>15.552869523761039</v>
          </cell>
          <cell r="C231">
            <v>14.851485037691962</v>
          </cell>
          <cell r="D231">
            <v>3.6470780104222902</v>
          </cell>
          <cell r="E231">
            <v>2.0706009702815518</v>
          </cell>
          <cell r="F231">
            <v>1.6056435142779124</v>
          </cell>
          <cell r="G231">
            <v>1.3809320980195896</v>
          </cell>
        </row>
        <row r="233">
          <cell r="B233">
            <v>22.300414639095926</v>
          </cell>
          <cell r="C233">
            <v>25.707382259635864</v>
          </cell>
          <cell r="D233">
            <v>39.116449212428257</v>
          </cell>
          <cell r="E233">
            <v>58.928005700889734</v>
          </cell>
          <cell r="F233">
            <v>78.816883510596554</v>
          </cell>
          <cell r="G233">
            <v>75.406388089937238</v>
          </cell>
        </row>
        <row r="234">
          <cell r="B234">
            <v>52.108941359540331</v>
          </cell>
          <cell r="C234">
            <v>44.259426779581588</v>
          </cell>
          <cell r="D234">
            <v>38.309735569182259</v>
          </cell>
          <cell r="E234">
            <v>17.43449732094286</v>
          </cell>
          <cell r="F234">
            <v>2.5336431617918582</v>
          </cell>
          <cell r="G234">
            <v>0.12404383093429251</v>
          </cell>
        </row>
        <row r="235">
          <cell r="B235">
            <v>42.950423709321171</v>
          </cell>
          <cell r="C235">
            <v>44.417125535021654</v>
          </cell>
          <cell r="D235">
            <v>36.523664137146369</v>
          </cell>
          <cell r="E235">
            <v>23.205975072533668</v>
          </cell>
          <cell r="F235">
            <v>4.3466525645227589</v>
          </cell>
          <cell r="G235">
            <v>1.7493940379677597</v>
          </cell>
        </row>
        <row r="236">
          <cell r="B236">
            <v>0</v>
          </cell>
          <cell r="C236">
            <v>0</v>
          </cell>
          <cell r="D236">
            <v>5.2521092314421463</v>
          </cell>
          <cell r="E236">
            <v>8.9036412280259913</v>
          </cell>
          <cell r="F236">
            <v>12.134377760263579</v>
          </cell>
          <cell r="G236">
            <v>10.044763085562449</v>
          </cell>
        </row>
        <row r="238">
          <cell r="B238">
            <v>9.6254060912794398E-2</v>
          </cell>
          <cell r="C238">
            <v>8.6937787473803547E-3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</row>
        <row r="239">
          <cell r="B239">
            <v>7.813619389559558</v>
          </cell>
          <cell r="C239">
            <v>9.1551118021254396</v>
          </cell>
          <cell r="D239">
            <v>6.9084781017401937</v>
          </cell>
          <cell r="E239">
            <v>11.767005550514366</v>
          </cell>
          <cell r="F239">
            <v>11.850970801118899</v>
          </cell>
          <cell r="G239">
            <v>9.9349896160117481</v>
          </cell>
        </row>
        <row r="240">
          <cell r="B240">
            <v>9.6515976131738981</v>
          </cell>
          <cell r="C240">
            <v>9.0557294571196181</v>
          </cell>
          <cell r="D240">
            <v>11.351448201272145</v>
          </cell>
          <cell r="E240">
            <v>9.0639372684865869</v>
          </cell>
          <cell r="F240">
            <v>5.2214269060024776</v>
          </cell>
          <cell r="G240">
            <v>2.3665257997125302</v>
          </cell>
        </row>
        <row r="241">
          <cell r="B241">
            <v>2.8667473177251979</v>
          </cell>
          <cell r="C241">
            <v>3.3630928067771015</v>
          </cell>
          <cell r="D241">
            <v>0.22705727573273216</v>
          </cell>
          <cell r="E241">
            <v>0.19632981329396451</v>
          </cell>
          <cell r="F241">
            <v>0.1165777034433189</v>
          </cell>
          <cell r="G241">
            <v>4.507053429520784E-2</v>
          </cell>
        </row>
        <row r="242">
          <cell r="B242">
            <v>2.5068460525822482</v>
          </cell>
          <cell r="C242">
            <v>2.9281871306673763</v>
          </cell>
          <cell r="D242">
            <v>1.0510994129721525</v>
          </cell>
          <cell r="E242">
            <v>1.560217068787181</v>
          </cell>
          <cell r="F242">
            <v>2.132702460369956</v>
          </cell>
          <cell r="G242">
            <v>2.404067572537119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</row>
        <row r="244">
          <cell r="B244">
            <v>0.10521915041379323</v>
          </cell>
          <cell r="C244">
            <v>8.5253130367147048</v>
          </cell>
          <cell r="D244">
            <v>5.1471340367997902</v>
          </cell>
          <cell r="E244">
            <v>11.858779907443067</v>
          </cell>
          <cell r="F244">
            <v>22.358024911603756</v>
          </cell>
          <cell r="G244">
            <v>32.929458775903854</v>
          </cell>
        </row>
        <row r="245">
          <cell r="B245">
            <v>156.02494208952066</v>
          </cell>
          <cell r="C245">
            <v>162.34355220457579</v>
          </cell>
          <cell r="D245">
            <v>147.55530679890506</v>
          </cell>
          <cell r="E245">
            <v>144.98898990119901</v>
          </cell>
          <cell r="F245">
            <v>141.11690329399107</v>
          </cell>
          <cell r="G245">
            <v>136.3856334408818</v>
          </cell>
        </row>
      </sheetData>
      <sheetData sheetId="47">
        <row r="21">
          <cell r="B21">
            <v>77.713914339033636</v>
          </cell>
          <cell r="C21">
            <v>78.550155197047204</v>
          </cell>
          <cell r="D21">
            <v>70.913401947610311</v>
          </cell>
          <cell r="E21">
            <v>60.882599947473778</v>
          </cell>
          <cell r="F21">
            <v>8.6906509843823869</v>
          </cell>
          <cell r="G21">
            <v>0.45447686518808506</v>
          </cell>
        </row>
        <row r="22">
          <cell r="B22">
            <v>118.56256672926865</v>
          </cell>
          <cell r="C22">
            <v>111.03000542920201</v>
          </cell>
          <cell r="D22">
            <v>96.021739346220841</v>
          </cell>
          <cell r="E22">
            <v>71.440020765569301</v>
          </cell>
          <cell r="F22">
            <v>26.207557599578799</v>
          </cell>
          <cell r="G22">
            <v>3.2249471549329161</v>
          </cell>
        </row>
        <row r="24">
          <cell r="B24">
            <v>0.22280992682869413</v>
          </cell>
          <cell r="C24">
            <v>6.8924635731244702E-2</v>
          </cell>
          <cell r="D24">
            <v>0.14142789666678957</v>
          </cell>
          <cell r="E24">
            <v>5.9982182472469673E-3</v>
          </cell>
          <cell r="F24">
            <v>2.6980285496359109E-3</v>
          </cell>
          <cell r="G24">
            <v>6.0823388489185761E-4</v>
          </cell>
        </row>
        <row r="25">
          <cell r="B25">
            <v>4.5004792556309354</v>
          </cell>
          <cell r="C25">
            <v>4.5488519651228163</v>
          </cell>
          <cell r="D25">
            <v>4.119847182903067</v>
          </cell>
          <cell r="E25">
            <v>4.4673046224634989</v>
          </cell>
          <cell r="F25">
            <v>4.5039654625179777</v>
          </cell>
          <cell r="G25">
            <v>2.643781493326056E-2</v>
          </cell>
        </row>
        <row r="26">
          <cell r="B26">
            <v>2.9737862406202415</v>
          </cell>
          <cell r="C26">
            <v>2.9709400790582903</v>
          </cell>
          <cell r="D26">
            <v>3.9768592266362237</v>
          </cell>
          <cell r="E26">
            <v>2.3806448760816941</v>
          </cell>
          <cell r="F26">
            <v>1.1993822718914484</v>
          </cell>
          <cell r="G26">
            <v>13.881298939437487</v>
          </cell>
        </row>
        <row r="27">
          <cell r="B27">
            <v>1.8722478162413753E-2</v>
          </cell>
          <cell r="C27">
            <v>7.7064868417510016E-3</v>
          </cell>
          <cell r="D27">
            <v>1.31586807041869E-2</v>
          </cell>
          <cell r="E27">
            <v>3.5674221490176794E-4</v>
          </cell>
          <cell r="F27">
            <v>1.2356064051469871E-3</v>
          </cell>
          <cell r="G27">
            <v>6.9681942985691048E-4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0.16556348545801849</v>
          </cell>
          <cell r="F32">
            <v>0.53601827410793135</v>
          </cell>
          <cell r="G32">
            <v>1.7477047059991038</v>
          </cell>
        </row>
      </sheetData>
      <sheetData sheetId="48"/>
      <sheetData sheetId="49"/>
      <sheetData sheetId="50">
        <row r="53">
          <cell r="B53">
            <v>2.6070444434691735</v>
          </cell>
          <cell r="C53">
            <v>2.6579531437203485</v>
          </cell>
          <cell r="D53">
            <v>2.5062840180749033</v>
          </cell>
          <cell r="E53">
            <v>2.5314487456222663</v>
          </cell>
          <cell r="F53">
            <v>2.395696450306434</v>
          </cell>
          <cell r="G53">
            <v>2.3405956665742851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</row>
        <row r="55">
          <cell r="B55">
            <v>6.4935507570034803</v>
          </cell>
          <cell r="C55">
            <v>6.1619830630031416</v>
          </cell>
          <cell r="D55">
            <v>5.7569143175434139</v>
          </cell>
          <cell r="E55">
            <v>4.8800707407034754</v>
          </cell>
          <cell r="F55">
            <v>3.5801826554746419</v>
          </cell>
          <cell r="G55">
            <v>3.0602072963305504</v>
          </cell>
        </row>
        <row r="56">
          <cell r="B56">
            <v>3.7915216822193996</v>
          </cell>
          <cell r="C56">
            <v>3.2571995607828401</v>
          </cell>
          <cell r="D56">
            <v>3.18067364852423</v>
          </cell>
          <cell r="E56">
            <v>1.8179823323554352</v>
          </cell>
          <cell r="F56">
            <v>0.39153318910551194</v>
          </cell>
          <cell r="G56">
            <v>7.9041828314593606E-3</v>
          </cell>
        </row>
        <row r="57">
          <cell r="B57">
            <v>7.1784619671037184</v>
          </cell>
          <cell r="C57">
            <v>6.4235207602001774</v>
          </cell>
          <cell r="D57">
            <v>6.2361499260065427</v>
          </cell>
          <cell r="E57">
            <v>3.7031411426657299</v>
          </cell>
          <cell r="F57">
            <v>0.91658946163149091</v>
          </cell>
          <cell r="G57">
            <v>8.7776525698659274E-3</v>
          </cell>
        </row>
        <row r="58">
          <cell r="B58">
            <v>14.616527141079242</v>
          </cell>
          <cell r="C58">
            <v>14.175325902750403</v>
          </cell>
          <cell r="D58">
            <v>12.597383586692573</v>
          </cell>
          <cell r="E58">
            <v>10.017978828082267</v>
          </cell>
          <cell r="F58">
            <v>2.626113827893648</v>
          </cell>
          <cell r="G58">
            <v>0.27399066953573692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-2.3861526505255436E-4</v>
          </cell>
          <cell r="G59">
            <v>-2.6154598615099949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-0.28095744411168266</v>
          </cell>
          <cell r="G60">
            <v>-2.1492897493218344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-0.84465247677264677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-2.862010595040838E-5</v>
          </cell>
          <cell r="G62">
            <v>-8.2013516630083272E-2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-1.9210195111377031E-6</v>
          </cell>
          <cell r="G63">
            <v>-5.9423579808010655E-5</v>
          </cell>
        </row>
        <row r="77">
          <cell r="B77">
            <v>0</v>
          </cell>
          <cell r="C77">
            <v>0</v>
          </cell>
        </row>
        <row r="78">
          <cell r="B78">
            <v>0.28114131521852692</v>
          </cell>
          <cell r="C78">
            <v>0.39342930924456121</v>
          </cell>
        </row>
        <row r="79">
          <cell r="B79">
            <v>0</v>
          </cell>
          <cell r="C79">
            <v>5.2979588052677284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dimension ref="B2:E98"/>
  <sheetViews>
    <sheetView showGridLines="0" tabSelected="1" topLeftCell="A76" workbookViewId="0">
      <selection activeCell="B102" sqref="B102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1092</v>
      </c>
      <c r="C45" t="s">
        <v>1126</v>
      </c>
      <c r="D45" t="s">
        <v>240</v>
      </c>
    </row>
    <row r="46" spans="2:5" x14ac:dyDescent="0.35">
      <c r="B46" t="s">
        <v>1237</v>
      </c>
      <c r="C46" t="s">
        <v>1127</v>
      </c>
      <c r="D46" t="s">
        <v>8</v>
      </c>
      <c r="E46" t="s">
        <v>1128</v>
      </c>
    </row>
    <row r="47" spans="2:5" x14ac:dyDescent="0.35">
      <c r="B47" t="s">
        <v>1129</v>
      </c>
      <c r="C47" t="s">
        <v>1130</v>
      </c>
      <c r="D47" t="s">
        <v>1132</v>
      </c>
    </row>
    <row r="48" spans="2:5" x14ac:dyDescent="0.35">
      <c r="B48" t="s">
        <v>1131</v>
      </c>
      <c r="C48" t="s">
        <v>1231</v>
      </c>
      <c r="D48" t="s">
        <v>1230</v>
      </c>
      <c r="E48" t="s">
        <v>1232</v>
      </c>
    </row>
    <row r="49" spans="2:5" x14ac:dyDescent="0.35">
      <c r="B49" t="s">
        <v>1305</v>
      </c>
      <c r="C49" t="s">
        <v>1306</v>
      </c>
      <c r="D49" t="s">
        <v>8</v>
      </c>
    </row>
    <row r="50" spans="2:5" x14ac:dyDescent="0.35">
      <c r="B50" t="s">
        <v>1349</v>
      </c>
      <c r="C50" t="s">
        <v>1533</v>
      </c>
      <c r="D50" t="s">
        <v>1132</v>
      </c>
      <c r="E50" t="s">
        <v>1232</v>
      </c>
    </row>
    <row r="51" spans="2:5" x14ac:dyDescent="0.35">
      <c r="B51" t="s">
        <v>1371</v>
      </c>
      <c r="C51" t="s">
        <v>1472</v>
      </c>
      <c r="D51" t="s">
        <v>1230</v>
      </c>
    </row>
    <row r="52" spans="2:5" x14ac:dyDescent="0.35">
      <c r="B52" t="s">
        <v>1395</v>
      </c>
      <c r="C52" t="s">
        <v>1395</v>
      </c>
      <c r="D52" t="s">
        <v>8</v>
      </c>
    </row>
    <row r="53" spans="2:5" x14ac:dyDescent="0.35">
      <c r="B53" t="s">
        <v>1393</v>
      </c>
      <c r="C53" t="s">
        <v>1532</v>
      </c>
      <c r="D53" t="s">
        <v>1132</v>
      </c>
      <c r="E53" t="s">
        <v>1232</v>
      </c>
    </row>
    <row r="54" spans="2:5" x14ac:dyDescent="0.35">
      <c r="B54" t="s">
        <v>1394</v>
      </c>
      <c r="C54" t="s">
        <v>1471</v>
      </c>
      <c r="D54" t="s">
        <v>1230</v>
      </c>
    </row>
    <row r="55" spans="2:5" x14ac:dyDescent="0.35">
      <c r="B55" t="s">
        <v>1474</v>
      </c>
      <c r="C55" t="s">
        <v>1474</v>
      </c>
      <c r="D55" t="s">
        <v>8</v>
      </c>
    </row>
    <row r="56" spans="2:5" x14ac:dyDescent="0.35">
      <c r="B56" t="s">
        <v>1479</v>
      </c>
      <c r="C56" t="s">
        <v>1531</v>
      </c>
      <c r="D56" t="s">
        <v>1132</v>
      </c>
    </row>
    <row r="57" spans="2:5" x14ac:dyDescent="0.35">
      <c r="B57" t="s">
        <v>1481</v>
      </c>
      <c r="C57" t="s">
        <v>1487</v>
      </c>
      <c r="D57" t="s">
        <v>1230</v>
      </c>
    </row>
    <row r="58" spans="2:5" x14ac:dyDescent="0.35">
      <c r="B58" t="s">
        <v>1473</v>
      </c>
      <c r="C58" t="s">
        <v>1473</v>
      </c>
      <c r="D58" t="s">
        <v>8</v>
      </c>
    </row>
    <row r="59" spans="2:5" x14ac:dyDescent="0.35">
      <c r="B59" t="s">
        <v>1483</v>
      </c>
      <c r="C59" t="s">
        <v>1530</v>
      </c>
      <c r="D59" t="s">
        <v>1132</v>
      </c>
    </row>
    <row r="60" spans="2:5" x14ac:dyDescent="0.35">
      <c r="B60" t="s">
        <v>1485</v>
      </c>
      <c r="C60" t="s">
        <v>1535</v>
      </c>
      <c r="D60" t="s">
        <v>1230</v>
      </c>
    </row>
    <row r="61" spans="2:5" x14ac:dyDescent="0.35">
      <c r="B61" t="s">
        <v>1488</v>
      </c>
      <c r="C61" t="s">
        <v>1529</v>
      </c>
      <c r="D61" t="s">
        <v>8</v>
      </c>
    </row>
    <row r="62" spans="2:5" x14ac:dyDescent="0.35">
      <c r="B62" t="s">
        <v>1504</v>
      </c>
      <c r="C62" t="s">
        <v>1596</v>
      </c>
      <c r="D62" t="s">
        <v>1132</v>
      </c>
    </row>
    <row r="63" spans="2:5" x14ac:dyDescent="0.35">
      <c r="B63" t="s">
        <v>1519</v>
      </c>
      <c r="C63" t="s">
        <v>1534</v>
      </c>
      <c r="D63" t="s">
        <v>1230</v>
      </c>
    </row>
    <row r="64" spans="2:5" x14ac:dyDescent="0.35">
      <c r="B64" t="s">
        <v>1644</v>
      </c>
      <c r="C64" t="s">
        <v>1594</v>
      </c>
      <c r="D64" t="s">
        <v>8</v>
      </c>
    </row>
    <row r="65" spans="2:4" x14ac:dyDescent="0.35">
      <c r="B65" t="s">
        <v>1645</v>
      </c>
      <c r="C65" t="s">
        <v>1596</v>
      </c>
      <c r="D65" t="s">
        <v>1132</v>
      </c>
    </row>
    <row r="66" spans="2:4" x14ac:dyDescent="0.35">
      <c r="B66" t="s">
        <v>1646</v>
      </c>
      <c r="C66" t="s">
        <v>1595</v>
      </c>
      <c r="D66" t="s">
        <v>1230</v>
      </c>
    </row>
    <row r="67" spans="2:4" x14ac:dyDescent="0.35">
      <c r="B67" t="s">
        <v>1647</v>
      </c>
      <c r="C67" t="s">
        <v>1648</v>
      </c>
      <c r="D67" t="s">
        <v>8</v>
      </c>
    </row>
    <row r="68" spans="2:4" x14ac:dyDescent="0.35">
      <c r="B68" t="s">
        <v>1650</v>
      </c>
      <c r="C68" t="s">
        <v>1596</v>
      </c>
      <c r="D68" t="s">
        <v>1132</v>
      </c>
    </row>
    <row r="69" spans="2:4" x14ac:dyDescent="0.35">
      <c r="B69" t="s">
        <v>1651</v>
      </c>
      <c r="C69" t="s">
        <v>1649</v>
      </c>
      <c r="D69" t="s">
        <v>1230</v>
      </c>
    </row>
    <row r="70" spans="2:4" x14ac:dyDescent="0.35">
      <c r="B70" t="s">
        <v>1697</v>
      </c>
      <c r="C70" t="s">
        <v>1652</v>
      </c>
      <c r="D70" t="s">
        <v>8</v>
      </c>
    </row>
    <row r="71" spans="2:4" x14ac:dyDescent="0.35">
      <c r="B71" t="s">
        <v>1675</v>
      </c>
      <c r="C71" t="s">
        <v>1698</v>
      </c>
      <c r="D71" t="s">
        <v>1700</v>
      </c>
    </row>
    <row r="72" spans="2:4" x14ac:dyDescent="0.35">
      <c r="B72" t="s">
        <v>1686</v>
      </c>
      <c r="C72" t="s">
        <v>1699</v>
      </c>
      <c r="D72" t="s">
        <v>1701</v>
      </c>
    </row>
    <row r="73" spans="2:4" x14ac:dyDescent="0.35">
      <c r="B73" t="s">
        <v>1702</v>
      </c>
      <c r="C73" t="s">
        <v>1702</v>
      </c>
      <c r="D73" t="s">
        <v>442</v>
      </c>
    </row>
    <row r="74" spans="2:4" x14ac:dyDescent="0.35">
      <c r="B74" t="s">
        <v>1716</v>
      </c>
      <c r="C74" t="s">
        <v>1722</v>
      </c>
      <c r="D74" t="s">
        <v>442</v>
      </c>
    </row>
    <row r="75" spans="2:4" x14ac:dyDescent="0.35">
      <c r="B75" t="s">
        <v>1721</v>
      </c>
      <c r="C75" t="s">
        <v>1723</v>
      </c>
      <c r="D75" t="s">
        <v>8</v>
      </c>
    </row>
    <row r="76" spans="2:4" x14ac:dyDescent="0.35">
      <c r="B76" t="s">
        <v>1769</v>
      </c>
      <c r="C76" t="s">
        <v>1787</v>
      </c>
      <c r="D76" t="s">
        <v>8</v>
      </c>
    </row>
    <row r="77" spans="2:4" x14ac:dyDescent="0.35">
      <c r="B77" t="s">
        <v>1790</v>
      </c>
      <c r="C77" t="s">
        <v>1788</v>
      </c>
      <c r="D77" t="s">
        <v>1858</v>
      </c>
    </row>
    <row r="78" spans="2:4" x14ac:dyDescent="0.35">
      <c r="B78" t="s">
        <v>1857</v>
      </c>
      <c r="C78" t="s">
        <v>1860</v>
      </c>
      <c r="D78" t="s">
        <v>1859</v>
      </c>
    </row>
    <row r="79" spans="2:4" x14ac:dyDescent="0.35">
      <c r="B79" t="s">
        <v>1900</v>
      </c>
      <c r="C79" t="s">
        <v>1919</v>
      </c>
      <c r="D79" t="s">
        <v>1859</v>
      </c>
    </row>
    <row r="80" spans="2:4" x14ac:dyDescent="0.35">
      <c r="B80" t="s">
        <v>1901</v>
      </c>
      <c r="C80" t="s">
        <v>1920</v>
      </c>
      <c r="D80" t="s">
        <v>1859</v>
      </c>
    </row>
    <row r="81" spans="2:4" x14ac:dyDescent="0.35">
      <c r="B81" t="s">
        <v>1921</v>
      </c>
      <c r="C81" t="s">
        <v>1972</v>
      </c>
      <c r="D81" t="s">
        <v>1973</v>
      </c>
    </row>
    <row r="82" spans="2:4" x14ac:dyDescent="0.35">
      <c r="B82" t="s">
        <v>1974</v>
      </c>
      <c r="C82" t="s">
        <v>1975</v>
      </c>
      <c r="D82" t="s">
        <v>1976</v>
      </c>
    </row>
    <row r="83" spans="2:4" x14ac:dyDescent="0.35">
      <c r="B83" t="s">
        <v>1978</v>
      </c>
      <c r="C83" t="s">
        <v>1977</v>
      </c>
      <c r="D83" t="s">
        <v>1976</v>
      </c>
    </row>
    <row r="84" spans="2:4" x14ac:dyDescent="0.35">
      <c r="B84" t="s">
        <v>2122</v>
      </c>
      <c r="C84" t="s">
        <v>2132</v>
      </c>
      <c r="D84" t="s">
        <v>1976</v>
      </c>
    </row>
    <row r="85" spans="2:4" x14ac:dyDescent="0.35">
      <c r="B85" t="s">
        <v>2134</v>
      </c>
      <c r="C85" t="s">
        <v>2133</v>
      </c>
      <c r="D85" t="s">
        <v>1976</v>
      </c>
    </row>
    <row r="86" spans="2:4" x14ac:dyDescent="0.35">
      <c r="B86" t="s">
        <v>2144</v>
      </c>
      <c r="C86" t="s">
        <v>2156</v>
      </c>
      <c r="D86" t="s">
        <v>2155</v>
      </c>
    </row>
    <row r="87" spans="2:4" x14ac:dyDescent="0.35">
      <c r="B87" t="s">
        <v>2159</v>
      </c>
      <c r="C87" t="s">
        <v>2160</v>
      </c>
      <c r="D87" t="s">
        <v>2157</v>
      </c>
    </row>
    <row r="88" spans="2:4" x14ac:dyDescent="0.35">
      <c r="B88" t="s">
        <v>2180</v>
      </c>
      <c r="C88" t="s">
        <v>2181</v>
      </c>
      <c r="D88" t="s">
        <v>1858</v>
      </c>
    </row>
    <row r="89" spans="2:4" x14ac:dyDescent="0.35">
      <c r="B89" t="s">
        <v>2182</v>
      </c>
      <c r="C89" t="s">
        <v>2183</v>
      </c>
      <c r="D89" t="s">
        <v>1973</v>
      </c>
    </row>
    <row r="90" spans="2:4" x14ac:dyDescent="0.35">
      <c r="B90" t="s">
        <v>2184</v>
      </c>
      <c r="C90" t="s">
        <v>2185</v>
      </c>
      <c r="D90" t="s">
        <v>1973</v>
      </c>
    </row>
    <row r="91" spans="2:4" x14ac:dyDescent="0.35">
      <c r="B91" t="s">
        <v>2186</v>
      </c>
      <c r="C91" t="s">
        <v>2187</v>
      </c>
    </row>
    <row r="92" spans="2:4" x14ac:dyDescent="0.35">
      <c r="B92" t="s">
        <v>2188</v>
      </c>
      <c r="C92" t="s">
        <v>2189</v>
      </c>
    </row>
    <row r="93" spans="2:4" x14ac:dyDescent="0.35">
      <c r="B93" t="s">
        <v>2190</v>
      </c>
      <c r="C93" t="s">
        <v>2191</v>
      </c>
    </row>
    <row r="94" spans="2:4" x14ac:dyDescent="0.35">
      <c r="B94" t="s">
        <v>2192</v>
      </c>
      <c r="C94" t="s">
        <v>2193</v>
      </c>
      <c r="D94" t="s">
        <v>1859</v>
      </c>
    </row>
    <row r="95" spans="2:4" x14ac:dyDescent="0.35">
      <c r="B95" t="s">
        <v>2194</v>
      </c>
      <c r="C95" t="s">
        <v>2193</v>
      </c>
      <c r="D95" t="s">
        <v>1859</v>
      </c>
    </row>
    <row r="96" spans="2:4" x14ac:dyDescent="0.35">
      <c r="B96" t="s">
        <v>2195</v>
      </c>
      <c r="C96" t="s">
        <v>2193</v>
      </c>
      <c r="D96" t="s">
        <v>1859</v>
      </c>
    </row>
    <row r="97" spans="2:4" x14ac:dyDescent="0.35">
      <c r="B97" t="s">
        <v>2196</v>
      </c>
      <c r="C97" t="s">
        <v>2193</v>
      </c>
      <c r="D97" t="s">
        <v>2155</v>
      </c>
    </row>
    <row r="98" spans="2:4" x14ac:dyDescent="0.35">
      <c r="B98" t="s">
        <v>2197</v>
      </c>
      <c r="C98" t="s">
        <v>2193</v>
      </c>
      <c r="D98" t="s">
        <v>2157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dimension ref="A1:S2335"/>
  <sheetViews>
    <sheetView topLeftCell="B1" zoomScaleNormal="100" workbookViewId="0">
      <pane xSplit="4" ySplit="1" topLeftCell="F2107" activePane="bottomRight" state="frozen"/>
      <selection activeCell="B1" sqref="B1"/>
      <selection pane="topRight" activeCell="F1" sqref="F1"/>
      <selection pane="bottomLeft" activeCell="B2" sqref="B2"/>
      <selection pane="bottomRight" activeCell="A2107" sqref="A2107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83.5" customWidth="1"/>
    <col min="5" max="5" width="12.5" bestFit="1" customWidth="1"/>
    <col min="6" max="11" width="9.4140625" customWidth="1"/>
    <col min="13" max="13" width="16.4140625" bestFit="1" customWidth="1"/>
    <col min="14" max="18" width="15.41406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2040</v>
      </c>
      <c r="K1" s="2">
        <v>2050</v>
      </c>
    </row>
    <row r="2" spans="1:11" x14ac:dyDescent="0.35">
      <c r="A2" s="9" t="s">
        <v>5</v>
      </c>
      <c r="B2" s="9" t="s">
        <v>2179</v>
      </c>
      <c r="C2" s="2" t="s">
        <v>7</v>
      </c>
      <c r="D2" s="2" t="s">
        <v>15</v>
      </c>
      <c r="E2" s="2" t="s">
        <v>8</v>
      </c>
      <c r="F2" s="3">
        <f>F3+F8+F11+F12+F16+F17+F18+F19</f>
        <v>300.1867828821529</v>
      </c>
      <c r="G2" s="3">
        <f t="shared" ref="G2:K2" si="0">G3+G8+G11+G12+G16+G17+G18+G19</f>
        <v>295.40443066709389</v>
      </c>
      <c r="H2" s="3">
        <f t="shared" si="0"/>
        <v>336.83424968553993</v>
      </c>
      <c r="I2" s="3">
        <f t="shared" si="0"/>
        <v>417.25182021899485</v>
      </c>
      <c r="J2" s="3">
        <f t="shared" si="0"/>
        <v>453.7564029280914</v>
      </c>
      <c r="K2" s="3">
        <f t="shared" si="0"/>
        <v>501.77095635558567</v>
      </c>
    </row>
    <row r="3" spans="1:11" x14ac:dyDescent="0.35">
      <c r="A3" s="5" t="str">
        <f>A2</f>
        <v>STEM</v>
      </c>
      <c r="B3" s="5" t="str">
        <f t="shared" ref="B3:B66" si="1">B2</f>
        <v>SPS3</v>
      </c>
      <c r="C3" s="5" t="str">
        <f t="shared" ref="C3" si="2">C2</f>
        <v>CH</v>
      </c>
      <c r="D3" t="s">
        <v>771</v>
      </c>
      <c r="E3" t="s">
        <v>8</v>
      </c>
      <c r="F3" s="1">
        <f>SUM(F4:F7)</f>
        <v>44.972526655037584</v>
      </c>
      <c r="G3" s="1">
        <f t="shared" ref="G3:K3" si="3">SUM(G4:G7)</f>
        <v>47.710066292788355</v>
      </c>
      <c r="H3" s="1">
        <f t="shared" si="3"/>
        <v>47.710042852719312</v>
      </c>
      <c r="I3" s="1">
        <f t="shared" si="3"/>
        <v>47.710031235237075</v>
      </c>
      <c r="J3" s="1">
        <f t="shared" si="3"/>
        <v>47.710040242907894</v>
      </c>
      <c r="K3" s="1">
        <f t="shared" si="3"/>
        <v>48.190118417326886</v>
      </c>
    </row>
    <row r="4" spans="1:11" x14ac:dyDescent="0.35">
      <c r="A4" s="5" t="str">
        <f t="shared" ref="A4:A53" si="4">A3</f>
        <v>STEM</v>
      </c>
      <c r="B4" s="5" t="str">
        <f t="shared" si="1"/>
        <v>SPS3</v>
      </c>
      <c r="C4" s="5" t="str">
        <f t="shared" ref="C4:C60" si="5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11.111898002755384</v>
      </c>
      <c r="G4" s="1" cm="1">
        <f t="array" ref="G4">SUMPRODUCT(("RNWWOD1"=[1]OUT_PrimaryEnergyCons!$A$1:$A$1000)*1,[1]OUT_PrimaryEnergyCons!E$1:E$1000)</f>
        <v>11.952901604723982</v>
      </c>
      <c r="H4" s="1" cm="1">
        <f t="array" ref="H4">SUMPRODUCT(("RNWWOD1"=[1]OUT_PrimaryEnergyCons!$A$1:$A$1000)*1,[1]OUT_PrimaryEnergyCons!F$1:F$1000)</f>
        <v>13.214399706696403</v>
      </c>
      <c r="I4" s="1" cm="1">
        <f t="array" ref="I4">SUMPRODUCT(("RNWWOD1"=[1]OUT_PrimaryEnergyCons!$A$1:$A$1000)*1,[1]OUT_PrimaryEnergyCons!G$1:G$1000)</f>
        <v>15.316917648506823</v>
      </c>
      <c r="J4" s="1" cm="1">
        <f t="array" ref="J4">SUMPRODUCT(("RNWWOD1"=[1]OUT_PrimaryEnergyCons!$A$1:$A$1000)*1,[1]OUT_PrimaryEnergyCons!H$1:H$1000)</f>
        <v>16.266401392692813</v>
      </c>
      <c r="K4" s="1" cm="1">
        <f t="array" ref="K4">SUMPRODUCT(("RNWWOD1"=[1]OUT_PrimaryEnergyCons!$A$1:$A$1000)*1,[1]OUT_PrimaryEnergyCons!I$1:I$1000)</f>
        <v>16.957002152774074</v>
      </c>
    </row>
    <row r="5" spans="1:11" x14ac:dyDescent="0.35">
      <c r="A5" s="5" t="str">
        <f t="shared" si="4"/>
        <v>STEM</v>
      </c>
      <c r="B5" s="5" t="str">
        <f t="shared" si="1"/>
        <v>SPS3</v>
      </c>
      <c r="C5" s="5" t="str">
        <f t="shared" si="5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7.5116912588402913</v>
      </c>
      <c r="G5" s="1" cm="1">
        <f t="array" ref="G5">SUMPRODUCT(("RNWWOD2"=[1]OUT_PrimaryEnergyCons!$A$1:$A$1000)*1,[1]OUT_PrimaryEnergyCons!E$1:E$1000)</f>
        <v>7.5431597323891841</v>
      </c>
      <c r="H5" s="1" cm="1">
        <f t="array" ref="H5">SUMPRODUCT(("RNWWOD2"=[1]OUT_PrimaryEnergyCons!$A$1:$A$1000)*1,[1]OUT_PrimaryEnergyCons!F$1:F$1000)</f>
        <v>7.590355216784717</v>
      </c>
      <c r="I5" s="1" cm="1">
        <f t="array" ref="I5">SUMPRODUCT(("RNWWOD2"=[1]OUT_PrimaryEnergyCons!$A$1:$A$1000)*1,[1]OUT_PrimaryEnergyCons!G$1:G$1000)</f>
        <v>7.6690357577480448</v>
      </c>
      <c r="J5" s="1" cm="1">
        <f t="array" ref="J5">SUMPRODUCT(("RNWWOD2"=[1]OUT_PrimaryEnergyCons!$A$1:$A$1000)*1,[1]OUT_PrimaryEnergyCons!H$1:H$1000)</f>
        <v>7.6690343301202475</v>
      </c>
      <c r="K5" s="1" cm="1">
        <f t="array" ref="K5">SUMPRODUCT(("RNWWOD2"=[1]OUT_PrimaryEnergyCons!$A$1:$A$1000)*1,[1]OUT_PrimaryEnergyCons!I$1:I$1000)</f>
        <v>7.6690366240042982</v>
      </c>
    </row>
    <row r="6" spans="1:11" x14ac:dyDescent="0.35">
      <c r="A6" s="5" t="str">
        <f t="shared" si="4"/>
        <v>STEM</v>
      </c>
      <c r="B6" s="5" t="str">
        <f t="shared" si="1"/>
        <v>SPS3</v>
      </c>
      <c r="C6" s="5" t="str">
        <f t="shared" si="5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3.1682653187081877</v>
      </c>
      <c r="G6" s="1" cm="1">
        <f t="array" ref="G6">SUMPRODUCT(("RNWWOD3"=[1]OUT_PrimaryEnergyCons!$A$1:$A$1000)*1,[1]OUT_PrimaryEnergyCons!E$1:E$1000)</f>
        <v>3.4956787240892297</v>
      </c>
      <c r="H6" s="1" cm="1">
        <f t="array" ref="H6">SUMPRODUCT(("RNWWOD3"=[1]OUT_PrimaryEnergyCons!$A$1:$A$1000)*1,[1]OUT_PrimaryEnergyCons!F$1:F$1000)</f>
        <v>3.9868213884616295</v>
      </c>
      <c r="I6" s="1" cm="1">
        <f t="array" ref="I6">SUMPRODUCT(("RNWWOD3"=[1]OUT_PrimaryEnergyCons!$A$1:$A$1000)*1,[1]OUT_PrimaryEnergyCons!G$1:G$1000)</f>
        <v>4.8053889315016818</v>
      </c>
      <c r="J6" s="1" cm="1">
        <f t="array" ref="J6">SUMPRODUCT(("RNWWOD3"=[1]OUT_PrimaryEnergyCons!$A$1:$A$1000)*1,[1]OUT_PrimaryEnergyCons!H$1:H$1000)</f>
        <v>4.805392713516178</v>
      </c>
      <c r="K6" s="1" cm="1">
        <f t="array" ref="K6">SUMPRODUCT(("RNWWOD3"=[1]OUT_PrimaryEnergyCons!$A$1:$A$1000)*1,[1]OUT_PrimaryEnergyCons!I$1:I$1000)</f>
        <v>4.8053892673449097</v>
      </c>
    </row>
    <row r="7" spans="1:11" x14ac:dyDescent="0.35">
      <c r="A7" s="5" t="str">
        <f t="shared" si="4"/>
        <v>STEM</v>
      </c>
      <c r="B7" s="5" t="str">
        <f t="shared" si="1"/>
        <v>SPS3</v>
      </c>
      <c r="C7" s="5" t="str">
        <f t="shared" si="5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23.180672074733721</v>
      </c>
      <c r="G7" s="1" cm="1">
        <f t="array" ref="G7">SUMPRODUCT(("RNWWOD4"=[1]OUT_PrimaryEnergyCons!$A$1:$A$1000)*1+("RNWWOD5"=[1]OUT_PrimaryEnergyCons!$A$1:$A$1000)*1,[1]OUT_PrimaryEnergyCons!E$1:E$1000)</f>
        <v>24.718326231585955</v>
      </c>
      <c r="H7" s="1" cm="1">
        <f t="array" ref="H7">SUMPRODUCT(("RNWWOD4"=[1]OUT_PrimaryEnergyCons!$A$1:$A$1000)*1+("RNWWOD5"=[1]OUT_PrimaryEnergyCons!$A$1:$A$1000)*1,[1]OUT_PrimaryEnergyCons!F$1:F$1000)</f>
        <v>22.918466540776564</v>
      </c>
      <c r="I7" s="1" cm="1">
        <f t="array" ref="I7">SUMPRODUCT(("RNWWOD4"=[1]OUT_PrimaryEnergyCons!$A$1:$A$1000)*1+("RNWWOD5"=[1]OUT_PrimaryEnergyCons!$A$1:$A$1000)*1,[1]OUT_PrimaryEnergyCons!G$1:G$1000)</f>
        <v>19.918688897480525</v>
      </c>
      <c r="J7" s="1" cm="1">
        <f t="array" ref="J7">SUMPRODUCT(("RNWWOD4"=[1]OUT_PrimaryEnergyCons!$A$1:$A$1000)*1+("RNWWOD5"=[1]OUT_PrimaryEnergyCons!$A$1:$A$1000)*1,[1]OUT_PrimaryEnergyCons!H$1:H$1000)</f>
        <v>18.969211806578652</v>
      </c>
      <c r="K7" s="1" cm="1">
        <f t="array" ref="K7">SUMPRODUCT(("RNWWOD4"=[1]OUT_PrimaryEnergyCons!$A$1:$A$1000)*1+("RNWWOD5"=[1]OUT_PrimaryEnergyCons!$A$1:$A$1000)*1,[1]OUT_PrimaryEnergyCons!I$1:I$1000)</f>
        <v>18.758690373203606</v>
      </c>
    </row>
    <row r="8" spans="1:11" x14ac:dyDescent="0.35">
      <c r="A8" s="5" t="str">
        <f t="shared" si="4"/>
        <v>STEM</v>
      </c>
      <c r="B8" s="5" t="str">
        <f t="shared" si="1"/>
        <v>SPS3</v>
      </c>
      <c r="C8" s="5" t="str">
        <f t="shared" si="5"/>
        <v>CH</v>
      </c>
      <c r="D8" t="s">
        <v>772</v>
      </c>
      <c r="E8" t="s">
        <v>8</v>
      </c>
      <c r="F8" s="1">
        <f>SUM(F9:F10)</f>
        <v>70.031666764684061</v>
      </c>
      <c r="G8" s="1">
        <f t="shared" ref="G8:K8" si="6">SUM(G9:G10)</f>
        <v>70.697020432916958</v>
      </c>
      <c r="H8" s="1">
        <f t="shared" si="6"/>
        <v>70.304087079386889</v>
      </c>
      <c r="I8" s="1">
        <f t="shared" si="6"/>
        <v>69.854564946963876</v>
      </c>
      <c r="J8" s="1">
        <f t="shared" si="6"/>
        <v>74.776081270107639</v>
      </c>
      <c r="K8" s="1">
        <f t="shared" si="6"/>
        <v>78.277376838856128</v>
      </c>
    </row>
    <row r="9" spans="1:11" x14ac:dyDescent="0.35">
      <c r="A9" s="5" t="str">
        <f t="shared" si="4"/>
        <v>STEM</v>
      </c>
      <c r="B9" s="5" t="str">
        <f t="shared" si="1"/>
        <v>SPS3</v>
      </c>
      <c r="C9" s="5" t="str">
        <f t="shared" si="5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35.931183248765272</v>
      </c>
      <c r="G9" s="1" cm="1">
        <f t="array" ref="G9">SUMPRODUCT(("RNNWWST1"=[1]OUT_PrimaryEnergyCons!$A$1:$A$1000)*1,[1]OUT_PrimaryEnergyCons!E$1:E$1000)</f>
        <v>35.882407124617565</v>
      </c>
      <c r="H9" s="1" cm="1">
        <f t="array" ref="H9">SUMPRODUCT(("RNNWWST1"=[1]OUT_PrimaryEnergyCons!$A$1:$A$1000)*1,[1]OUT_PrimaryEnergyCons!F$1:F$1000)</f>
        <v>35.489472343636578</v>
      </c>
      <c r="I9" s="1" cm="1">
        <f t="array" ref="I9">SUMPRODUCT(("RNNWWST1"=[1]OUT_PrimaryEnergyCons!$A$1:$A$1000)*1,[1]OUT_PrimaryEnergyCons!G$1:G$1000)</f>
        <v>35.03996117505806</v>
      </c>
      <c r="J9" s="1" cm="1">
        <f t="array" ref="J9">SUMPRODUCT(("RNNWWST1"=[1]OUT_PrimaryEnergyCons!$A$1:$A$1000)*1,[1]OUT_PrimaryEnergyCons!H$1:H$1000)</f>
        <v>35.511078649678595</v>
      </c>
      <c r="K9" s="1" cm="1">
        <f t="array" ref="K9">SUMPRODUCT(("RNNWWST1"=[1]OUT_PrimaryEnergyCons!$A$1:$A$1000)*1,[1]OUT_PrimaryEnergyCons!I$1:I$1000)</f>
        <v>35.959241596083366</v>
      </c>
    </row>
    <row r="10" spans="1:11" x14ac:dyDescent="0.35">
      <c r="A10" s="5" t="str">
        <f t="shared" si="4"/>
        <v>STEM</v>
      </c>
      <c r="B10" s="5" t="str">
        <f t="shared" si="1"/>
        <v>SPS3</v>
      </c>
      <c r="C10" s="5" t="str">
        <f t="shared" si="5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34.100483515918789</v>
      </c>
      <c r="G10" s="1" cm="1">
        <f t="array" ref="G10">SUMPRODUCT(("RNWWST1"=[1]OUT_PrimaryEnergyCons!$A$1:$A$1000)*1,[1]OUT_PrimaryEnergyCons!E$1:E$1000)</f>
        <v>34.8146133082994</v>
      </c>
      <c r="H10" s="1" cm="1">
        <f t="array" ref="H10">SUMPRODUCT(("RNWWST1"=[1]OUT_PrimaryEnergyCons!$A$1:$A$1000)*1,[1]OUT_PrimaryEnergyCons!F$1:F$1000)</f>
        <v>34.814614735750311</v>
      </c>
      <c r="I10" s="1" cm="1">
        <f t="array" ref="I10">SUMPRODUCT(("RNWWST1"=[1]OUT_PrimaryEnergyCons!$A$1:$A$1000)*1,[1]OUT_PrimaryEnergyCons!G$1:G$1000)</f>
        <v>34.814603771905816</v>
      </c>
      <c r="J10" s="1" cm="1">
        <f t="array" ref="J10">SUMPRODUCT(("RNWWST1"=[1]OUT_PrimaryEnergyCons!$A$1:$A$1000)*1,[1]OUT_PrimaryEnergyCons!H$1:H$1000)</f>
        <v>39.265002620429044</v>
      </c>
      <c r="K10" s="1" cm="1">
        <f t="array" ref="K10">SUMPRODUCT(("RNWWST1"=[1]OUT_PrimaryEnergyCons!$A$1:$A$1000)*1,[1]OUT_PrimaryEnergyCons!I$1:I$1000)</f>
        <v>42.318135242772769</v>
      </c>
    </row>
    <row r="11" spans="1:11" x14ac:dyDescent="0.35">
      <c r="A11" s="5" t="str">
        <f t="shared" si="4"/>
        <v>STEM</v>
      </c>
      <c r="B11" s="5" t="str">
        <f t="shared" si="1"/>
        <v>SPS3</v>
      </c>
      <c r="C11" s="5" t="str">
        <f t="shared" si="5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3.7981272755403661</v>
      </c>
      <c r="G11" s="1" cm="1">
        <f t="array" ref="G11">SUMPRODUCT(("mnr"=[1]OUT_PrimaryEnergyCons!$C$1:$C$1000)*1,[1]OUT_PrimaryEnergyCons!E$1:E$1000)</f>
        <v>12.540463163667923</v>
      </c>
      <c r="H11" s="1" cm="1">
        <f t="array" ref="H11">SUMPRODUCT(("mnr"=[1]OUT_PrimaryEnergyCons!$C$1:$C$1000)*1,[1]OUT_PrimaryEnergyCons!F$1:F$1000)</f>
        <v>12.540462853242218</v>
      </c>
      <c r="I11" s="1" cm="1">
        <f t="array" ref="I11">SUMPRODUCT(("mnr"=[1]OUT_PrimaryEnergyCons!$C$1:$C$1000)*1,[1]OUT_PrimaryEnergyCons!G$1:G$1000)</f>
        <v>12.540446232075002</v>
      </c>
      <c r="J11" s="1" cm="1">
        <f t="array" ref="J11">SUMPRODUCT(("mnr"=[1]OUT_PrimaryEnergyCons!$C$1:$C$1000)*1,[1]OUT_PrimaryEnergyCons!H$1:H$1000)</f>
        <v>17.360317016608789</v>
      </c>
      <c r="K11" s="1" cm="1">
        <f t="array" ref="K11">SUMPRODUCT(("mnr"=[1]OUT_PrimaryEnergyCons!$C$1:$C$1000)*1,[1]OUT_PrimaryEnergyCons!I$1:I$1000)</f>
        <v>27.000022953618931</v>
      </c>
    </row>
    <row r="12" spans="1:11" x14ac:dyDescent="0.35">
      <c r="A12" s="5" t="str">
        <f t="shared" si="4"/>
        <v>STEM</v>
      </c>
      <c r="B12" s="5" t="str">
        <f t="shared" si="1"/>
        <v>SPS3</v>
      </c>
      <c r="C12" s="5" t="str">
        <f t="shared" si="5"/>
        <v>CH</v>
      </c>
      <c r="D12" t="s">
        <v>774</v>
      </c>
      <c r="E12" t="s">
        <v>8</v>
      </c>
      <c r="F12" s="1">
        <f>SUM(F13:F15)</f>
        <v>149.43050371769465</v>
      </c>
      <c r="G12" s="1">
        <f t="shared" ref="G12:K12" si="7">SUM(G13:G15)</f>
        <v>125.60910293594793</v>
      </c>
      <c r="H12" s="1">
        <f t="shared" si="7"/>
        <v>141.33591684913807</v>
      </c>
      <c r="I12" s="1">
        <f t="shared" si="7"/>
        <v>190.54837782849512</v>
      </c>
      <c r="J12" s="1">
        <f t="shared" si="7"/>
        <v>152.08346292293933</v>
      </c>
      <c r="K12" s="1">
        <f t="shared" si="7"/>
        <v>152.52844378020325</v>
      </c>
    </row>
    <row r="13" spans="1:11" x14ac:dyDescent="0.35">
      <c r="A13" s="5" t="str">
        <f t="shared" si="4"/>
        <v>STEM</v>
      </c>
      <c r="B13" s="5" t="str">
        <f t="shared" si="1"/>
        <v>SPS3</v>
      </c>
      <c r="C13" s="5" t="str">
        <f t="shared" si="5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66.745680641565826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49.798798233586048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68.746652836090433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69.707980460873983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72.137441602012373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68.851436972761888</v>
      </c>
    </row>
    <row r="14" spans="1:11" x14ac:dyDescent="0.35">
      <c r="A14" s="5" t="str">
        <f t="shared" si="4"/>
        <v>STEM</v>
      </c>
      <c r="B14" s="5" t="str">
        <f t="shared" si="1"/>
        <v>SPS3</v>
      </c>
      <c r="C14" s="5" t="str">
        <f t="shared" si="5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66.632408674137309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55.764006095374093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65.562601078116302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64.934024586346183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63.848999302683723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67.134993866464811</v>
      </c>
    </row>
    <row r="15" spans="1:11" x14ac:dyDescent="0.35">
      <c r="A15" s="5" t="str">
        <f t="shared" si="4"/>
        <v>STEM</v>
      </c>
      <c r="B15" s="5" t="str">
        <f t="shared" si="1"/>
        <v>SPS3</v>
      </c>
      <c r="C15" s="5" t="str">
        <f t="shared" si="5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16.052414401991513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20.04629860698779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7.0266629349313163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55.906372781274968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16.097022018243219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16.542012940976548</v>
      </c>
    </row>
    <row r="16" spans="1:11" x14ac:dyDescent="0.35">
      <c r="A16" s="5" t="str">
        <f t="shared" si="4"/>
        <v>STEM</v>
      </c>
      <c r="B16" s="5" t="str">
        <f t="shared" si="1"/>
        <v>SPS3</v>
      </c>
      <c r="C16" s="5" t="str">
        <f t="shared" si="5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12.55659643484937</v>
      </c>
      <c r="G16" s="1" cm="1">
        <f t="array" ref="G16">SUMPRODUCT(ISNUMBER(SEARCH("SOL",[1]OUT_PrimaryEnergyCons!$C$1:$C$1000))*1,[1]OUT_PrimaryEnergyCons!E$1:E$1000)</f>
        <v>16.523694144355883</v>
      </c>
      <c r="H16" s="1" cm="1">
        <f t="array" ref="H16">SUMPRODUCT(ISNUMBER(SEARCH("SOL",[1]OUT_PrimaryEnergyCons!$C$1:$C$1000))*1,[1]OUT_PrimaryEnergyCons!F$1:F$1000)</f>
        <v>30.509165791213494</v>
      </c>
      <c r="I16" s="1" cm="1">
        <f t="array" ref="I16">SUMPRODUCT(ISNUMBER(SEARCH("SOL",[1]OUT_PrimaryEnergyCons!$C$1:$C$1000))*1,[1]OUT_PrimaryEnergyCons!G$1:G$1000)</f>
        <v>35.879014601464739</v>
      </c>
      <c r="J16" s="1" cm="1">
        <f t="array" ref="J16">SUMPRODUCT(ISNUMBER(SEARCH("SOL",[1]OUT_PrimaryEnergyCons!$C$1:$C$1000))*1,[1]OUT_PrimaryEnergyCons!H$1:H$1000)</f>
        <v>66.288291446417077</v>
      </c>
      <c r="K16" s="1" cm="1">
        <f t="array" ref="K16">SUMPRODUCT(ISNUMBER(SEARCH("SOL",[1]OUT_PrimaryEnergyCons!$C$1:$C$1000))*1,[1]OUT_PrimaryEnergyCons!I$1:I$1000)</f>
        <v>96.031483337980831</v>
      </c>
    </row>
    <row r="17" spans="1:18" x14ac:dyDescent="0.35">
      <c r="A17" s="5" t="str">
        <f t="shared" si="4"/>
        <v>STEM</v>
      </c>
      <c r="B17" s="5" t="str">
        <f t="shared" si="1"/>
        <v>SPS3</v>
      </c>
      <c r="C17" s="5" t="str">
        <f t="shared" si="5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0.52405024088074226</v>
      </c>
      <c r="G17" s="1" cm="1">
        <f t="array" ref="G17">SUMPRODUCT(ISNUMBER(SEARCH("wnd",[1]OUT_PrimaryEnergyCons!$C$1:$C$1000))*1,[1]OUT_PrimaryEnergyCons!E$1:E$1000)</f>
        <v>0.54529958225622155</v>
      </c>
      <c r="H17" s="1" cm="1">
        <f t="array" ref="H17">SUMPRODUCT(ISNUMBER(SEARCH("wnd",[1]OUT_PrimaryEnergyCons!$C$1:$C$1000))*1,[1]OUT_PrimaryEnergyCons!F$1:F$1000)</f>
        <v>0.50317218339118619</v>
      </c>
      <c r="I17" s="1" cm="1">
        <f t="array" ref="I17">SUMPRODUCT(ISNUMBER(SEARCH("wnd",[1]OUT_PrimaryEnergyCons!$C$1:$C$1000))*1,[1]OUT_PrimaryEnergyCons!G$1:G$1000)</f>
        <v>2.0503093034361277</v>
      </c>
      <c r="J17" s="1" cm="1">
        <f t="array" ref="J17">SUMPRODUCT(ISNUMBER(SEARCH("wnd",[1]OUT_PrimaryEnergyCons!$C$1:$C$1000))*1,[1]OUT_PrimaryEnergyCons!H$1:H$1000)</f>
        <v>3.5228653144660571</v>
      </c>
      <c r="K17" s="1" cm="1">
        <f t="array" ref="K17">SUMPRODUCT(ISNUMBER(SEARCH("wnd",[1]OUT_PrimaryEnergyCons!$C$1:$C$1000))*1,[1]OUT_PrimaryEnergyCons!I$1:I$1000)</f>
        <v>6.1200322237821512</v>
      </c>
    </row>
    <row r="18" spans="1:18" x14ac:dyDescent="0.35">
      <c r="A18" s="5" t="str">
        <f t="shared" si="4"/>
        <v>STEM</v>
      </c>
      <c r="B18" s="5" t="str">
        <f t="shared" si="1"/>
        <v>SPS3</v>
      </c>
      <c r="C18" s="5" t="str">
        <f t="shared" si="5"/>
        <v>CH</v>
      </c>
      <c r="D18" t="s">
        <v>777</v>
      </c>
      <c r="E18" t="s">
        <v>8</v>
      </c>
      <c r="F18" s="1">
        <f>[1]Overview!B$9-F19</f>
        <v>18.873311793466101</v>
      </c>
      <c r="G18" s="1">
        <f>[1]Overview!C$9-G19</f>
        <v>21.778784115160573</v>
      </c>
      <c r="H18" s="1">
        <f>[1]Overview!D$9-H19</f>
        <v>33.931402076448762</v>
      </c>
      <c r="I18" s="1">
        <f>[1]Overview!E$9-I19</f>
        <v>58.66907607132292</v>
      </c>
      <c r="J18" s="1">
        <f>[1]Overview!F$9-J19</f>
        <v>88.987106944074867</v>
      </c>
      <c r="K18" s="1">
        <f>[1]Overview!G$9-K19</f>
        <v>87.572869151665998</v>
      </c>
    </row>
    <row r="19" spans="1:18" x14ac:dyDescent="0.35">
      <c r="A19" s="5" t="str">
        <f t="shared" si="4"/>
        <v>STEM</v>
      </c>
      <c r="B19" s="5" t="str">
        <f t="shared" si="1"/>
        <v>SPS3</v>
      </c>
      <c r="C19" s="5" t="str">
        <f t="shared" si="5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3.0282377705697998</v>
      </c>
      <c r="K19" s="1">
        <f>+[1]Overview!G$28</f>
        <v>6.050609652151496</v>
      </c>
    </row>
    <row r="20" spans="1:18" x14ac:dyDescent="0.35">
      <c r="A20" s="9" t="str">
        <f t="shared" si="4"/>
        <v>STEM</v>
      </c>
      <c r="B20" s="9" t="str">
        <f t="shared" si="1"/>
        <v>SPS3</v>
      </c>
      <c r="C20" s="2" t="str">
        <f t="shared" si="5"/>
        <v>CH</v>
      </c>
      <c r="D20" s="2" t="s">
        <v>19</v>
      </c>
      <c r="E20" s="2" t="s">
        <v>8</v>
      </c>
      <c r="F20" s="3">
        <f t="shared" ref="F20:K20" si="8">SUM(F21:F22,F39,F48:F49,F54)</f>
        <v>780.42710453845007</v>
      </c>
      <c r="G20" s="3">
        <f t="shared" si="8"/>
        <v>705.94703373887546</v>
      </c>
      <c r="H20" s="3">
        <f t="shared" si="8"/>
        <v>599.33439886589451</v>
      </c>
      <c r="I20" s="3">
        <f t="shared" si="8"/>
        <v>508.14690190795403</v>
      </c>
      <c r="J20" s="3">
        <f t="shared" si="8"/>
        <v>231.06475873613459</v>
      </c>
      <c r="K20" s="3">
        <f t="shared" si="8"/>
        <v>81.696255216463271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4"/>
        <v>STEM</v>
      </c>
      <c r="B21" s="5" t="str">
        <f t="shared" si="1"/>
        <v>SPS3</v>
      </c>
      <c r="C21" s="5" t="str">
        <f t="shared" si="5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3.660082646607993</v>
      </c>
      <c r="G21" s="1" cm="1">
        <f t="array" ref="G21">SUMPRODUCT(("COA"=[1]OUT_PrimaryEnergyCons!$C$4:$C$10000)*1,[1]OUT_PrimaryEnergyCons!E$4:E$10000)</f>
        <v>3.5647399684575602</v>
      </c>
      <c r="H21" s="1" cm="1">
        <f t="array" ref="H21">SUMPRODUCT(("COA"=[1]OUT_PrimaryEnergyCons!$C$4:$C$10000)*1,[1]OUT_PrimaryEnergyCons!F$4:F$10000)</f>
        <v>1.3942393462008706</v>
      </c>
      <c r="I21" s="1" cm="1">
        <f t="array" ref="I21">SUMPRODUCT(("COA"=[1]OUT_PrimaryEnergyCons!$C$4:$C$10000)*1,[1]OUT_PrimaryEnergyCons!G$4:G$10000)</f>
        <v>9.6632042803424385E-5</v>
      </c>
      <c r="J21" s="1" cm="1">
        <f t="array" ref="J21">SUMPRODUCT(("COA"=[1]OUT_PrimaryEnergyCons!$C$4:$C$10000)*1,[1]OUT_PrimaryEnergyCons!H$4:H$10000)</f>
        <v>1.1673944620316094E-4</v>
      </c>
      <c r="K21" s="1" cm="1">
        <f t="array" ref="K21">SUMPRODUCT(("COA"=[1]OUT_PrimaryEnergyCons!$C$4:$C$10000)*1,[1]OUT_PrimaryEnergyCons!I$4:I$10000)</f>
        <v>8.4194731248640261E-6</v>
      </c>
    </row>
    <row r="22" spans="1:18" x14ac:dyDescent="0.35">
      <c r="A22" s="5" t="str">
        <f t="shared" si="4"/>
        <v>STEM</v>
      </c>
      <c r="B22" s="5" t="str">
        <f t="shared" si="1"/>
        <v>SPS3</v>
      </c>
      <c r="C22" s="5" t="str">
        <f t="shared" si="5"/>
        <v>CH</v>
      </c>
      <c r="D22" t="s">
        <v>780</v>
      </c>
      <c r="E22" t="s">
        <v>8</v>
      </c>
      <c r="F22" s="1">
        <f>F23+F29</f>
        <v>311.53315991627943</v>
      </c>
      <c r="G22" s="1">
        <f t="shared" ref="G22:K22" si="9">G23+G29</f>
        <v>291.56945464919443</v>
      </c>
      <c r="H22" s="1">
        <f t="shared" si="9"/>
        <v>262.18900427282654</v>
      </c>
      <c r="I22" s="1">
        <f t="shared" si="9"/>
        <v>188.65267808583386</v>
      </c>
      <c r="J22" s="1">
        <f t="shared" si="9"/>
        <v>72.24243447815337</v>
      </c>
      <c r="K22" s="1">
        <f t="shared" si="9"/>
        <v>58.214098025670673</v>
      </c>
    </row>
    <row r="23" spans="1:18" x14ac:dyDescent="0.35">
      <c r="A23" s="5" t="str">
        <f t="shared" ref="A23" si="10">A22</f>
        <v>STEM</v>
      </c>
      <c r="B23" s="5" t="str">
        <f t="shared" si="1"/>
        <v>SPS3</v>
      </c>
      <c r="C23" s="5" t="str">
        <f t="shared" ref="C23" si="11">C22</f>
        <v>CH</v>
      </c>
      <c r="D23" t="s">
        <v>781</v>
      </c>
      <c r="E23" t="s">
        <v>8</v>
      </c>
      <c r="F23" s="1">
        <f>SUM(F24:F28)</f>
        <v>304.86704878015018</v>
      </c>
      <c r="G23" s="1">
        <f t="shared" ref="G23:K23" si="12">SUM(G24:G28)</f>
        <v>284.79282089474157</v>
      </c>
      <c r="H23" s="1">
        <f t="shared" si="12"/>
        <v>254.89623585366141</v>
      </c>
      <c r="I23" s="1">
        <f t="shared" si="12"/>
        <v>177.18048862796553</v>
      </c>
      <c r="J23" s="1">
        <f t="shared" si="12"/>
        <v>40.734644805378196</v>
      </c>
      <c r="K23" s="1">
        <f t="shared" si="12"/>
        <v>0</v>
      </c>
    </row>
    <row r="24" spans="1:18" x14ac:dyDescent="0.35">
      <c r="A24" s="5" t="str">
        <f>A22</f>
        <v>STEM</v>
      </c>
      <c r="B24" s="5" t="str">
        <f t="shared" si="1"/>
        <v>SPS3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101.78018844605887</v>
      </c>
      <c r="G24" s="1" cm="1">
        <f t="array" ref="G24">SUMPRODUCT(("LFO"=[1]OUT_PrimaryEnergyCons!$C$4:$C$10000)*1,[1]OUT_PrimaryEnergyCons!E$4:E$10000)</f>
        <v>88.215372526159186</v>
      </c>
      <c r="H24" s="1" cm="1">
        <f t="array" ref="H24">SUMPRODUCT(("LFO"=[1]OUT_PrimaryEnergyCons!$C$4:$C$10000)*1,[1]OUT_PrimaryEnergyCons!F$4:F$10000)</f>
        <v>83.615009336030496</v>
      </c>
      <c r="I24" s="1" cm="1">
        <f t="array" ref="I24">SUMPRODUCT(("LFO"=[1]OUT_PrimaryEnergyCons!$C$4:$C$10000)*1,[1]OUT_PrimaryEnergyCons!G$4:G$10000)</f>
        <v>40.922146444130767</v>
      </c>
      <c r="J24" s="1" cm="1">
        <f t="array" ref="J24">SUMPRODUCT(("LFO"=[1]OUT_PrimaryEnergyCons!$C$4:$C$10000)*1,[1]OUT_PrimaryEnergyCons!H$4:H$10000)</f>
        <v>8.1877927508833537</v>
      </c>
      <c r="K24" s="1" cm="1">
        <f t="array" ref="K24">SUMPRODUCT(("LFO"=[1]OUT_PrimaryEnergyCons!$C$4:$C$10000)*1,[1]OUT_PrimaryEnergyCons!I$4:I$10000)</f>
        <v>0</v>
      </c>
    </row>
    <row r="25" spans="1:18" x14ac:dyDescent="0.35">
      <c r="A25" s="5" t="str">
        <f t="shared" si="4"/>
        <v>STEM</v>
      </c>
      <c r="B25" s="5" t="str">
        <f t="shared" si="1"/>
        <v>SPS3</v>
      </c>
      <c r="C25" s="5" t="str">
        <f t="shared" si="5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2.7764033086862567</v>
      </c>
      <c r="G25" s="1" cm="1">
        <f t="array" ref="G25">SUMPRODUCT(("HFO"=[1]OUT_PrimaryEnergyCons!$C$4:$C$10000)*1,[1]OUT_PrimaryEnergyCons!E$4:E$10000)</f>
        <v>2.7644347464614349</v>
      </c>
      <c r="H25" s="1" cm="1">
        <f t="array" ref="H25">SUMPRODUCT(("HFO"=[1]OUT_PrimaryEnergyCons!$C$4:$C$10000)*1,[1]OUT_PrimaryEnergyCons!F$4:F$10000)</f>
        <v>7.3640543000329291E-3</v>
      </c>
      <c r="I25" s="1" cm="1">
        <f t="array" ref="I25">SUMPRODUCT(("HFO"=[1]OUT_PrimaryEnergyCons!$C$4:$C$10000)*1,[1]OUT_PrimaryEnergyCons!G$4:G$10000)</f>
        <v>1.5550722699684348E-4</v>
      </c>
      <c r="J25" s="1" cm="1">
        <f t="array" ref="J25">SUMPRODUCT(("HFO"=[1]OUT_PrimaryEnergyCons!$C$4:$C$10000)*1,[1]OUT_PrimaryEnergyCons!H$4:H$10000)</f>
        <v>1.5383758877702948E-4</v>
      </c>
      <c r="K25" s="1" cm="1">
        <f t="array" ref="K25">SUMPRODUCT(("HFO"=[1]OUT_PrimaryEnergyCons!$C$4:$C$10000)*1,[1]OUT_PrimaryEnergyCons!I$4:I$10000)</f>
        <v>0</v>
      </c>
    </row>
    <row r="26" spans="1:18" x14ac:dyDescent="0.35">
      <c r="A26" s="5" t="str">
        <f t="shared" si="4"/>
        <v>STEM</v>
      </c>
      <c r="B26" s="5" t="str">
        <f t="shared" si="1"/>
        <v>SPS3</v>
      </c>
      <c r="C26" s="5" t="str">
        <f t="shared" si="5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120.33096316619769</v>
      </c>
      <c r="G26" s="1" cm="1">
        <f t="array" ref="G26">SUMPRODUCT(("DSL"=[1]OUT_PrimaryEnergyCons!$C$4:$C$10000)*1,[1]OUT_PrimaryEnergyCons!E$4:E$10000)</f>
        <v>112.68605144279373</v>
      </c>
      <c r="H26" s="1" cm="1">
        <f t="array" ref="H26">SUMPRODUCT(("DSL"=[1]OUT_PrimaryEnergyCons!$C$4:$C$10000)*1,[1]OUT_PrimaryEnergyCons!F$4:F$10000)</f>
        <v>97.453932545237222</v>
      </c>
      <c r="I26" s="1" cm="1">
        <f t="array" ref="I26">SUMPRODUCT(("DSL"=[1]OUT_PrimaryEnergyCons!$C$4:$C$10000)*1,[1]OUT_PrimaryEnergyCons!G$4:G$10000)</f>
        <v>72.505570219002138</v>
      </c>
      <c r="J26" s="1" cm="1">
        <f t="array" ref="J26">SUMPRODUCT(("DSL"=[1]OUT_PrimaryEnergyCons!$C$4:$C$10000)*1,[1]OUT_PrimaryEnergyCons!H$4:H$10000)</f>
        <v>26.594959967855349</v>
      </c>
      <c r="K26" s="1" cm="1">
        <f t="array" ref="K26">SUMPRODUCT(("DSL"=[1]OUT_PrimaryEnergyCons!$C$4:$C$10000)*1,[1]OUT_PrimaryEnergyCons!I$4:I$10000)</f>
        <v>0</v>
      </c>
    </row>
    <row r="27" spans="1:18" x14ac:dyDescent="0.35">
      <c r="A27" s="5" t="str">
        <f t="shared" si="4"/>
        <v>STEM</v>
      </c>
      <c r="B27" s="5" t="str">
        <f t="shared" si="1"/>
        <v>SPS3</v>
      </c>
      <c r="C27" s="5" t="str">
        <f t="shared" si="5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78.873041206646931</v>
      </c>
      <c r="G27" s="1" cm="1">
        <f t="array" ref="G27">SUMPRODUCT(("GSL"=[1]OUT_PrimaryEnergyCons!$C$4:$C$10000)*1,[1]OUT_PrimaryEnergyCons!E$4:E$10000)</f>
        <v>79.721754449683729</v>
      </c>
      <c r="H27" s="1" cm="1">
        <f t="array" ref="H27">SUMPRODUCT(("GSL"=[1]OUT_PrimaryEnergyCons!$C$4:$C$10000)*1,[1]OUT_PrimaryEnergyCons!F$4:F$10000)</f>
        <v>71.971096722564113</v>
      </c>
      <c r="I27" s="1" cm="1">
        <f t="array" ref="I27">SUMPRODUCT(("GSL"=[1]OUT_PrimaryEnergyCons!$C$4:$C$10000)*1,[1]OUT_PrimaryEnergyCons!G$4:G$10000)</f>
        <v>61.790684597925122</v>
      </c>
      <c r="J27" s="1" cm="1">
        <f t="array" ref="J27">SUMPRODUCT(("GSL"=[1]OUT_PrimaryEnergyCons!$C$4:$C$10000)*1,[1]OUT_PrimaryEnergyCons!H$4:H$10000)</f>
        <v>5.6038264681351722</v>
      </c>
      <c r="K27" s="1" cm="1">
        <f t="array" ref="K27">SUMPRODUCT(("GSL"=[1]OUT_PrimaryEnergyCons!$C$4:$C$10000)*1,[1]OUT_PrimaryEnergyCons!I$4:I$10000)</f>
        <v>0</v>
      </c>
    </row>
    <row r="28" spans="1:18" x14ac:dyDescent="0.35">
      <c r="A28" s="5" t="str">
        <f t="shared" ref="A28" si="13">A27</f>
        <v>STEM</v>
      </c>
      <c r="B28" s="5" t="str">
        <f t="shared" si="1"/>
        <v>SPS3</v>
      </c>
      <c r="C28" s="5" t="str">
        <f t="shared" ref="C28" si="1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1.1064526525604343</v>
      </c>
      <c r="G28" s="1" cm="1">
        <f t="array" ref="G28">SUMPRODUCT(("KER"=[1]OUT_PrimaryEnergyCons!$C$4:$C$10000)*1,[1]OUT_PrimaryEnergyCons!E$4:E$10000)</f>
        <v>1.4052077296434966</v>
      </c>
      <c r="H28" s="1" cm="1">
        <f t="array" ref="H28">SUMPRODUCT(("KER"=[1]OUT_PrimaryEnergyCons!$C$4:$C$10000)*1,[1]OUT_PrimaryEnergyCons!F$4:F$10000)</f>
        <v>1.848833195529562</v>
      </c>
      <c r="I28" s="1" cm="1">
        <f t="array" ref="I28">SUMPRODUCT(("KER"=[1]OUT_PrimaryEnergyCons!$C$4:$C$10000)*1,[1]OUT_PrimaryEnergyCons!G$4:G$10000)</f>
        <v>1.9619318596804993</v>
      </c>
      <c r="J28" s="1" cm="1">
        <f t="array" ref="J28">SUMPRODUCT(("KER"=[1]OUT_PrimaryEnergyCons!$C$4:$C$10000)*1,[1]OUT_PrimaryEnergyCons!H$4:H$10000)</f>
        <v>0.34791178091554426</v>
      </c>
      <c r="K28" s="1" cm="1">
        <f t="array" ref="K28">SUMPRODUCT(("KER"=[1]OUT_PrimaryEnergyCons!$C$4:$C$10000)*1,[1]OUT_PrimaryEnergyCons!I$4:I$10000)</f>
        <v>0</v>
      </c>
    </row>
    <row r="29" spans="1:18" x14ac:dyDescent="0.35">
      <c r="A29" s="5" t="str">
        <f>A48</f>
        <v>STEM</v>
      </c>
      <c r="B29" s="5" t="str">
        <f t="shared" si="1"/>
        <v>SPS3</v>
      </c>
      <c r="C29" s="5" t="str">
        <f>C48</f>
        <v>CH</v>
      </c>
      <c r="D29" t="s">
        <v>782</v>
      </c>
      <c r="E29" t="s">
        <v>8</v>
      </c>
      <c r="F29" s="1">
        <f>SUM(F30:F31)</f>
        <v>6.6661111361292429</v>
      </c>
      <c r="G29" s="1">
        <f t="shared" ref="G29:K29" si="15">SUM(G30:G31)</f>
        <v>6.7766337544528508</v>
      </c>
      <c r="H29" s="1">
        <f t="shared" si="15"/>
        <v>7.2927684191651494</v>
      </c>
      <c r="I29" s="1">
        <f t="shared" si="15"/>
        <v>11.472189457868312</v>
      </c>
      <c r="J29" s="1">
        <f t="shared" si="15"/>
        <v>31.507789672775168</v>
      </c>
      <c r="K29" s="1">
        <f t="shared" si="15"/>
        <v>58.214098025670673</v>
      </c>
    </row>
    <row r="30" spans="1:18" x14ac:dyDescent="0.35">
      <c r="A30" s="5" t="str">
        <f>A35</f>
        <v>STEM</v>
      </c>
      <c r="B30" s="5" t="str">
        <f t="shared" si="1"/>
        <v>SPS3</v>
      </c>
      <c r="C30" s="5" t="str">
        <f>C35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</f>
        <v>2.2319554715857581</v>
      </c>
      <c r="G30" s="1" cm="1">
        <f t="array" ref="G30">SUMPRODUCT(ISNUMBER(SEARCH("IMPBDS",[1]OUT_SyntheticFuels!$C$4:$C$1000))*1,("Var_Fout"=[1]OUT_SyntheticFuels!$B$4:$B$1000)*1,[1]OUT_SyntheticFuels!F$4:F$1000)</f>
        <v>2.3780156694800638</v>
      </c>
      <c r="H30" s="1" cm="1">
        <f t="array" ref="H30">SUMPRODUCT(ISNUMBER(SEARCH("IMPBDS",[1]OUT_SyntheticFuels!$C$4:$C$1000))*1,("Var_Fout"=[1]OUT_SyntheticFuels!$B$4:$B$1000)*1,[1]OUT_SyntheticFuels!G$4:G$1000)</f>
        <v>3.3303176327763899</v>
      </c>
      <c r="I30" s="1" cm="1">
        <f t="array" ref="I30">SUMPRODUCT(ISNUMBER(SEARCH("IMPBDS",[1]OUT_SyntheticFuels!$C$4:$C$1000))*1,("Var_Fout"=[1]OUT_SyntheticFuels!$B$4:$B$1000)*1,[1]OUT_SyntheticFuels!H$4:H$1000)</f>
        <v>7.1269316936849663</v>
      </c>
      <c r="J30" s="1" cm="1">
        <f t="array" ref="J30">SUMPRODUCT(ISNUMBER(SEARCH("IMPBDS",[1]OUT_SyntheticFuels!$C$4:$C$1000))*1,("Var_Fout"=[1]OUT_SyntheticFuels!$B$4:$B$1000)*1,[1]OUT_SyntheticFuels!I$4:I$1000)</f>
        <v>26.936675088590071</v>
      </c>
      <c r="K30" s="1" cm="1">
        <f t="array" ref="K30">SUMPRODUCT(ISNUMBER(SEARCH("IMPBDS",[1]OUT_SyntheticFuels!$C$4:$C$1000))*1,("Var_Fout"=[1]OUT_SyntheticFuels!$B$4:$B$1000)*1,[1]OUT_SyntheticFuels!J$4:J$1000)</f>
        <v>58.18727602668681</v>
      </c>
    </row>
    <row r="31" spans="1:18" x14ac:dyDescent="0.35">
      <c r="A31" s="5" t="str">
        <f>A30</f>
        <v>STEM</v>
      </c>
      <c r="B31" s="5" t="str">
        <f t="shared" si="1"/>
        <v>SPS3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4.4341556645434848</v>
      </c>
      <c r="G31" s="1" cm="1">
        <f t="array" ref="G31">SUMPRODUCT(ISNUMBER(SEARCH("IMPeth",[1]OUT_SyntheticFuels!$C$4:$C$1000))*1,("Var_Fout"=[1]OUT_SyntheticFuels!$B$4:$B$1000)*1,[1]OUT_SyntheticFuels!F$4:F$1000)</f>
        <v>4.3986180849727869</v>
      </c>
      <c r="H31" s="1" cm="1">
        <f t="array" ref="H31">SUMPRODUCT(ISNUMBER(SEARCH("IMPeth",[1]OUT_SyntheticFuels!$C$4:$C$1000))*1,("Var_Fout"=[1]OUT_SyntheticFuels!$B$4:$B$1000)*1,[1]OUT_SyntheticFuels!G$4:G$1000)</f>
        <v>3.962450786388759</v>
      </c>
      <c r="I31" s="1" cm="1">
        <f t="array" ref="I31">SUMPRODUCT(ISNUMBER(SEARCH("IMPeth",[1]OUT_SyntheticFuels!$C$4:$C$1000))*1,("Var_Fout"=[1]OUT_SyntheticFuels!$B$4:$B$1000)*1,[1]OUT_SyntheticFuels!H$4:H$1000)</f>
        <v>4.3452577641833461</v>
      </c>
      <c r="J31" s="1" cm="1">
        <f t="array" ref="J31">SUMPRODUCT(ISNUMBER(SEARCH("IMPeth",[1]OUT_SyntheticFuels!$C$4:$C$1000))*1,("Var_Fout"=[1]OUT_SyntheticFuels!$B$4:$B$1000)*1,[1]OUT_SyntheticFuels!I$4:I$1000)</f>
        <v>4.5711145841850946</v>
      </c>
      <c r="K31" s="1" cm="1">
        <f t="array" ref="K31">SUMPRODUCT(ISNUMBER(SEARCH("IMPeth",[1]OUT_SyntheticFuels!$C$4:$C$1000))*1,("Var_Fout"=[1]OUT_SyntheticFuels!$B$4:$B$1000)*1,[1]OUT_SyntheticFuels!J$4:J$1000)</f>
        <v>2.6821998983863039E-2</v>
      </c>
    </row>
    <row r="32" spans="1:18" x14ac:dyDescent="0.35">
      <c r="A32" s="5" t="str">
        <f>A29</f>
        <v>STEM</v>
      </c>
      <c r="B32" s="5" t="str">
        <f t="shared" si="1"/>
        <v>SPS3</v>
      </c>
      <c r="C32" s="5" t="str">
        <f>C29</f>
        <v>CH</v>
      </c>
      <c r="D32" t="s">
        <v>532</v>
      </c>
      <c r="E32" t="s">
        <v>8</v>
      </c>
      <c r="F32" s="1">
        <f t="shared" ref="F32:K32" si="16">SUM(F33:F34)</f>
        <v>6.6661111361292429</v>
      </c>
      <c r="G32" s="1">
        <f t="shared" si="16"/>
        <v>6.7766337544528508</v>
      </c>
      <c r="H32" s="1">
        <f t="shared" si="16"/>
        <v>7.2927684191651494</v>
      </c>
      <c r="I32" s="1">
        <f t="shared" si="16"/>
        <v>11.472189457868312</v>
      </c>
      <c r="J32" s="1">
        <f t="shared" si="16"/>
        <v>11.561087358228452</v>
      </c>
      <c r="K32" s="1">
        <f t="shared" si="16"/>
        <v>26.963497087573934</v>
      </c>
    </row>
    <row r="33" spans="1:11" x14ac:dyDescent="0.35">
      <c r="A33" s="5" t="str">
        <f>A31</f>
        <v>STEM</v>
      </c>
      <c r="B33" s="5" t="str">
        <f t="shared" si="1"/>
        <v>SPS3</v>
      </c>
      <c r="C33" s="5" t="str">
        <f>C31</f>
        <v>CH</v>
      </c>
      <c r="D33" t="s">
        <v>533</v>
      </c>
      <c r="E33" t="s">
        <v>8</v>
      </c>
      <c r="F33" s="1">
        <f t="shared" ref="F33:I34" si="17">F30</f>
        <v>2.2319554715857581</v>
      </c>
      <c r="G33" s="1">
        <f t="shared" si="17"/>
        <v>2.3780156694800638</v>
      </c>
      <c r="H33" s="1">
        <f t="shared" si="17"/>
        <v>3.3303176327763899</v>
      </c>
      <c r="I33" s="1">
        <f t="shared" si="17"/>
        <v>7.1269316936849663</v>
      </c>
      <c r="J33" s="1">
        <f>IF(J30-MAX(F30:I30)&lt;0,J30,MAX(F30:I30))</f>
        <v>7.1269316936849663</v>
      </c>
      <c r="K33" s="1">
        <f>IF(K30-MAX(F30:J30)&lt;0,K30,MAX(F30:J30))</f>
        <v>26.936675088590071</v>
      </c>
    </row>
    <row r="34" spans="1:11" x14ac:dyDescent="0.35">
      <c r="A34" s="5" t="str">
        <f>A33</f>
        <v>STEM</v>
      </c>
      <c r="B34" s="5" t="str">
        <f t="shared" si="1"/>
        <v>SPS3</v>
      </c>
      <c r="C34" s="5" t="str">
        <f>C33</f>
        <v>CH</v>
      </c>
      <c r="D34" t="s">
        <v>534</v>
      </c>
      <c r="E34" t="s">
        <v>8</v>
      </c>
      <c r="F34" s="1">
        <f t="shared" si="17"/>
        <v>4.4341556645434848</v>
      </c>
      <c r="G34" s="1">
        <f t="shared" si="17"/>
        <v>4.3986180849727869</v>
      </c>
      <c r="H34" s="1">
        <f t="shared" si="17"/>
        <v>3.962450786388759</v>
      </c>
      <c r="I34" s="1">
        <f t="shared" si="17"/>
        <v>4.3452577641833461</v>
      </c>
      <c r="J34" s="1">
        <f>IF(J31-MAX(F31:I31)&lt;0,J31,MAX(F31:I31))</f>
        <v>4.4341556645434848</v>
      </c>
      <c r="K34" s="1">
        <f>IF(K31-MAX(F31:J31)&lt;0,K31,MAX(F31:J31))</f>
        <v>2.6821998983863039E-2</v>
      </c>
    </row>
    <row r="35" spans="1:11" x14ac:dyDescent="0.35">
      <c r="A35" s="5" t="str">
        <f>A32</f>
        <v>STEM</v>
      </c>
      <c r="B35" s="5" t="str">
        <f t="shared" si="1"/>
        <v>SPS3</v>
      </c>
      <c r="C35" s="5" t="str">
        <f>C32</f>
        <v>CH</v>
      </c>
      <c r="D35" t="s">
        <v>783</v>
      </c>
      <c r="E35" t="s">
        <v>8</v>
      </c>
      <c r="F35" s="1">
        <f t="shared" ref="F35:K35" si="18">SUM(F36:F37)</f>
        <v>0</v>
      </c>
      <c r="G35" s="1">
        <f t="shared" si="18"/>
        <v>0</v>
      </c>
      <c r="H35" s="1">
        <f t="shared" si="18"/>
        <v>0</v>
      </c>
      <c r="I35" s="1">
        <f t="shared" si="18"/>
        <v>0</v>
      </c>
      <c r="J35" s="1">
        <f t="shared" si="18"/>
        <v>19.946702314546716</v>
      </c>
      <c r="K35" s="1">
        <f t="shared" si="18"/>
        <v>31.250600938096738</v>
      </c>
    </row>
    <row r="36" spans="1:11" x14ac:dyDescent="0.35">
      <c r="A36" s="5" t="str">
        <f>A34</f>
        <v>STEM</v>
      </c>
      <c r="B36" s="5" t="str">
        <f t="shared" si="1"/>
        <v>SPS3</v>
      </c>
      <c r="C36" s="5" t="str">
        <f>C34</f>
        <v>CH</v>
      </c>
      <c r="D36" t="s">
        <v>535</v>
      </c>
      <c r="E36" t="s">
        <v>8</v>
      </c>
      <c r="F36" s="1">
        <v>0</v>
      </c>
      <c r="G36" s="1">
        <v>0</v>
      </c>
      <c r="H36" s="1">
        <v>0</v>
      </c>
      <c r="I36" s="1">
        <v>0</v>
      </c>
      <c r="J36" s="1">
        <f>J30-J33</f>
        <v>19.809743394905105</v>
      </c>
      <c r="K36" s="1">
        <f>K30-K33</f>
        <v>31.250600938096738</v>
      </c>
    </row>
    <row r="37" spans="1:11" x14ac:dyDescent="0.35">
      <c r="A37" s="5" t="str">
        <f>A36</f>
        <v>STEM</v>
      </c>
      <c r="B37" s="5" t="str">
        <f t="shared" si="1"/>
        <v>SPS3</v>
      </c>
      <c r="C37" s="5" t="str">
        <f>C36</f>
        <v>CH</v>
      </c>
      <c r="D37" t="s">
        <v>536</v>
      </c>
      <c r="E37" t="s">
        <v>8</v>
      </c>
      <c r="F37" s="1">
        <v>0</v>
      </c>
      <c r="G37" s="1">
        <v>0</v>
      </c>
      <c r="H37" s="1">
        <v>0</v>
      </c>
      <c r="I37" s="1">
        <v>0</v>
      </c>
      <c r="J37" s="1">
        <f>J31-J34</f>
        <v>0.13695891964160989</v>
      </c>
      <c r="K37" s="1">
        <f>K31-K34</f>
        <v>0</v>
      </c>
    </row>
    <row r="38" spans="1:11" x14ac:dyDescent="0.35">
      <c r="A38" s="5"/>
      <c r="B38" s="5" t="str">
        <f t="shared" si="1"/>
        <v>SPS3</v>
      </c>
      <c r="C38" s="5" t="str">
        <f>C37</f>
        <v>CH</v>
      </c>
      <c r="D38" t="s">
        <v>537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35">
      <c r="A39" s="5" t="str">
        <f t="shared" ref="A39:C40" si="19">A28</f>
        <v>STEM</v>
      </c>
      <c r="B39" s="5" t="str">
        <f t="shared" si="1"/>
        <v>SPS3</v>
      </c>
      <c r="C39" s="5" t="str">
        <f t="shared" si="19"/>
        <v>CH</v>
      </c>
      <c r="D39" t="s">
        <v>784</v>
      </c>
      <c r="E39" t="s">
        <v>8</v>
      </c>
      <c r="F39" s="1">
        <f>F40+F43</f>
        <v>117.12552410147578</v>
      </c>
      <c r="G39" s="1">
        <f t="shared" ref="G39:K39" si="20">G40+G43</f>
        <v>107.23652568805545</v>
      </c>
      <c r="H39" s="1">
        <f t="shared" si="20"/>
        <v>106.38968728554293</v>
      </c>
      <c r="I39" s="1">
        <f t="shared" si="20"/>
        <v>81.579394108057286</v>
      </c>
      <c r="J39" s="1">
        <f t="shared" si="20"/>
        <v>22.417944756058393</v>
      </c>
      <c r="K39" s="1">
        <f t="shared" si="20"/>
        <v>1.129726221579072E-4</v>
      </c>
    </row>
    <row r="40" spans="1:11" x14ac:dyDescent="0.35">
      <c r="A40" s="5" t="str">
        <f t="shared" si="19"/>
        <v>STEM</v>
      </c>
      <c r="B40" s="5" t="str">
        <f t="shared" si="1"/>
        <v>SPS3</v>
      </c>
      <c r="C40" s="5" t="str">
        <f t="shared" si="19"/>
        <v>CH</v>
      </c>
      <c r="D40" t="s">
        <v>549</v>
      </c>
      <c r="E40" t="s">
        <v>8</v>
      </c>
      <c r="F40" s="1">
        <f>F41+F42</f>
        <v>117.12552410147578</v>
      </c>
      <c r="G40" s="1">
        <f t="shared" ref="G40:K40" si="21">G41+G42</f>
        <v>106.72001948820683</v>
      </c>
      <c r="H40" s="1">
        <f t="shared" si="21"/>
        <v>106.38930842511179</v>
      </c>
      <c r="I40" s="1">
        <f t="shared" si="21"/>
        <v>81.060549385641636</v>
      </c>
      <c r="J40" s="1">
        <f t="shared" si="21"/>
        <v>22.417684295710501</v>
      </c>
      <c r="K40" s="1">
        <f t="shared" si="21"/>
        <v>7.0771734935449253E-5</v>
      </c>
    </row>
    <row r="41" spans="1:11" x14ac:dyDescent="0.35">
      <c r="A41" s="5" t="str">
        <f>A27</f>
        <v>STEM</v>
      </c>
      <c r="B41" s="5" t="str">
        <f t="shared" si="1"/>
        <v>SPS3</v>
      </c>
      <c r="C41" s="5" t="str">
        <f>C27</f>
        <v>CH</v>
      </c>
      <c r="D41" t="s">
        <v>550</v>
      </c>
      <c r="E41" t="s">
        <v>8</v>
      </c>
      <c r="F41" s="1" cm="1">
        <f t="array" ref="F41">SUMPRODUCT(("NGA"=[1]OUT_PrimaryEnergyCons!$C$4:$C$10000)*1,[1]OUT_PrimaryEnergyCons!D$4:D$10000)</f>
        <v>117.12552410147578</v>
      </c>
      <c r="G41" s="1" cm="1">
        <f t="array" ref="G41">SUMPRODUCT(("NGA"=[1]OUT_PrimaryEnergyCons!$C$4:$C$10000)*1,[1]OUT_PrimaryEnergyCons!E$4:E$10000)</f>
        <v>106.72001948820683</v>
      </c>
      <c r="H41" s="1" cm="1">
        <f t="array" ref="H41">SUMPRODUCT(("NGA"=[1]OUT_PrimaryEnergyCons!$C$4:$C$10000)*1,[1]OUT_PrimaryEnergyCons!F$4:F$10000)</f>
        <v>106.38930842511179</v>
      </c>
      <c r="I41" s="1" cm="1">
        <f t="array" ref="I41">SUMPRODUCT(("NGA"=[1]OUT_PrimaryEnergyCons!$C$4:$C$10000)*1,[1]OUT_PrimaryEnergyCons!G$4:G$10000)</f>
        <v>81.057007277103466</v>
      </c>
      <c r="J41" s="1" cm="1">
        <f t="array" ref="J41">SUMPRODUCT(("NGA"=[1]OUT_PrimaryEnergyCons!$C$4:$C$10000)*1,[1]OUT_PrimaryEnergyCons!H$4:H$10000)</f>
        <v>22.413006510170504</v>
      </c>
      <c r="K41" s="1" cm="1">
        <f t="array" ref="K41">SUMPRODUCT(("NGA"=[1]OUT_PrimaryEnergyCons!$C$4:$C$10000)*1,[1]OUT_PrimaryEnergyCons!I$4:I$10000)</f>
        <v>2.7690680887371249E-5</v>
      </c>
    </row>
    <row r="42" spans="1:11" x14ac:dyDescent="0.35">
      <c r="A42" s="5" t="str">
        <f t="shared" si="4"/>
        <v>STEM</v>
      </c>
      <c r="B42" s="5" t="str">
        <f t="shared" si="1"/>
        <v>SPS3</v>
      </c>
      <c r="C42" s="5" t="str">
        <f t="shared" si="5"/>
        <v>CH</v>
      </c>
      <c r="D42" t="s">
        <v>551</v>
      </c>
      <c r="E42" t="s">
        <v>8</v>
      </c>
      <c r="F42" s="1" cm="1">
        <f t="array" ref="F42">SUMPRODUCT(("LNGA"=[1]OUT_PrimaryEnergyCons!$C$4:$C$10000)*1,[1]OUT_PrimaryEnergyCons!D$4:D$10000)</f>
        <v>0</v>
      </c>
      <c r="G42" s="1" cm="1">
        <f t="array" ref="G42">SUMPRODUCT(("LNGA"=[1]OUT_PrimaryEnergyCons!$C$4:$C$10000)*1,[1]OUT_PrimaryEnergyCons!E$4:E$10000)</f>
        <v>0</v>
      </c>
      <c r="H42" s="1" cm="1">
        <f t="array" ref="H42">SUMPRODUCT(("LNGA"=[1]OUT_PrimaryEnergyCons!$C$4:$C$10000)*1,[1]OUT_PrimaryEnergyCons!F$4:F$10000)</f>
        <v>0</v>
      </c>
      <c r="I42" s="1" cm="1">
        <f t="array" ref="I42">SUMPRODUCT(("LNGA"=[1]OUT_PrimaryEnergyCons!$C$4:$C$10000)*1,[1]OUT_PrimaryEnergyCons!G$4:G$10000)</f>
        <v>3.5421085381657771E-3</v>
      </c>
      <c r="J42" s="1" cm="1">
        <f t="array" ref="J42">SUMPRODUCT(("LNGA"=[1]OUT_PrimaryEnergyCons!$C$4:$C$10000)*1,[1]OUT_PrimaryEnergyCons!H$4:H$10000)</f>
        <v>4.6777855399963743E-3</v>
      </c>
      <c r="K42" s="1" cm="1">
        <f t="array" ref="K42">SUMPRODUCT(("LNGA"=[1]OUT_PrimaryEnergyCons!$C$4:$C$10000)*1,[1]OUT_PrimaryEnergyCons!I$4:I$10000)</f>
        <v>4.3081054048078008E-5</v>
      </c>
    </row>
    <row r="43" spans="1:11" x14ac:dyDescent="0.35">
      <c r="A43" s="5" t="str">
        <f>A37</f>
        <v>STEM</v>
      </c>
      <c r="B43" s="5" t="str">
        <f t="shared" si="1"/>
        <v>SPS3</v>
      </c>
      <c r="C43" s="5" t="str">
        <f>C37</f>
        <v>CH</v>
      </c>
      <c r="D43" t="s">
        <v>785</v>
      </c>
      <c r="E43" t="s">
        <v>8</v>
      </c>
      <c r="F43" s="1" cm="1">
        <f t="array" ref="F43">SUMPRODUCT(("BIO"=[1]OUT_PrimaryEnergyCons!$C$4:$C$10000)*1+("LBIO"=[1]OUT_PrimaryEnergyCons!$C$4:$C$10000)*1,[1]OUT_PrimaryEnergyCons!D$4:D$10000)</f>
        <v>0</v>
      </c>
      <c r="G43" s="1" cm="1">
        <f t="array" ref="G43">SUMPRODUCT(("BIO"=[1]OUT_PrimaryEnergyCons!$C$4:$C$10000)*1+("LBIO"=[1]OUT_PrimaryEnergyCons!$C$4:$C$10000)*1,[1]OUT_PrimaryEnergyCons!E$4:E$10000)</f>
        <v>0.51650619984861779</v>
      </c>
      <c r="H43" s="1" cm="1">
        <f t="array" ref="H43">SUMPRODUCT(("BIO"=[1]OUT_PrimaryEnergyCons!$C$4:$C$10000)*1+("LBIO"=[1]OUT_PrimaryEnergyCons!$C$4:$C$10000)*1,[1]OUT_PrimaryEnergyCons!F$4:F$10000)</f>
        <v>3.7886043113487445E-4</v>
      </c>
      <c r="I43" s="1" cm="1">
        <f t="array" ref="I43">SUMPRODUCT(("BIO"=[1]OUT_PrimaryEnergyCons!$C$4:$C$10000)*1+("LBIO"=[1]OUT_PrimaryEnergyCons!$C$4:$C$10000)*1,[1]OUT_PrimaryEnergyCons!G$4:G$10000)</f>
        <v>0.51884472241564439</v>
      </c>
      <c r="J43" s="1" cm="1">
        <f t="array" ref="J43">SUMPRODUCT(("BIO"=[1]OUT_PrimaryEnergyCons!$C$4:$C$10000)*1+("LBIO"=[1]OUT_PrimaryEnergyCons!$C$4:$C$10000)*1,[1]OUT_PrimaryEnergyCons!H$4:H$10000)</f>
        <v>2.6046034789199978E-4</v>
      </c>
      <c r="K43" s="1" cm="1">
        <f t="array" ref="K43">SUMPRODUCT(("BIO"=[1]OUT_PrimaryEnergyCons!$C$4:$C$10000)*1+("LBIO"=[1]OUT_PrimaryEnergyCons!$C$4:$C$10000)*1,[1]OUT_PrimaryEnergyCons!I$4:I$10000)</f>
        <v>4.2200887222457952E-5</v>
      </c>
    </row>
    <row r="44" spans="1:11" x14ac:dyDescent="0.35">
      <c r="A44" s="5" t="str">
        <f t="shared" ref="A44:C45" si="22">A43</f>
        <v>STEM</v>
      </c>
      <c r="B44" s="5" t="str">
        <f t="shared" si="1"/>
        <v>SPS3</v>
      </c>
      <c r="C44" s="5" t="str">
        <f t="shared" si="22"/>
        <v>CH</v>
      </c>
      <c r="D44" t="s">
        <v>786</v>
      </c>
      <c r="E44" t="s">
        <v>8</v>
      </c>
      <c r="F44" s="1">
        <f t="shared" ref="F44:K44" si="23">F45</f>
        <v>0</v>
      </c>
      <c r="G44" s="1">
        <f t="shared" si="23"/>
        <v>0.51650619984861779</v>
      </c>
      <c r="H44" s="1">
        <f t="shared" si="23"/>
        <v>3.7886043113487445E-4</v>
      </c>
      <c r="I44" s="1">
        <f t="shared" si="23"/>
        <v>0.51884472241564439</v>
      </c>
      <c r="J44" s="1">
        <f t="shared" si="23"/>
        <v>2.6046034789199978E-4</v>
      </c>
      <c r="K44" s="1">
        <f t="shared" si="23"/>
        <v>4.2200887222457952E-5</v>
      </c>
    </row>
    <row r="45" spans="1:11" x14ac:dyDescent="0.35">
      <c r="A45" s="5" t="str">
        <f t="shared" si="22"/>
        <v>STEM</v>
      </c>
      <c r="B45" s="5" t="str">
        <f t="shared" si="1"/>
        <v>SPS3</v>
      </c>
      <c r="C45" s="5" t="str">
        <f t="shared" si="22"/>
        <v>CH</v>
      </c>
      <c r="D45" t="s">
        <v>611</v>
      </c>
      <c r="E45" t="s">
        <v>8</v>
      </c>
      <c r="F45" s="1">
        <f>F43</f>
        <v>0</v>
      </c>
      <c r="G45" s="1">
        <f>G43</f>
        <v>0.51650619984861779</v>
      </c>
      <c r="H45" s="1">
        <f>H43</f>
        <v>3.7886043113487445E-4</v>
      </c>
      <c r="I45" s="1">
        <f>I43</f>
        <v>0.51884472241564439</v>
      </c>
      <c r="J45" s="1">
        <f>IF(J43-MAX(F43:I43)&lt;0,J43,MAX(F43:I43))</f>
        <v>2.6046034789199978E-4</v>
      </c>
      <c r="K45" s="1">
        <f>IF(K43-MAX(G43:J43)&lt;0,K43,MAX(G43:J43))</f>
        <v>4.2200887222457952E-5</v>
      </c>
    </row>
    <row r="46" spans="1:11" x14ac:dyDescent="0.35">
      <c r="A46" s="5" t="str">
        <f>A44</f>
        <v>STEM</v>
      </c>
      <c r="B46" s="5" t="str">
        <f t="shared" si="1"/>
        <v>SPS3</v>
      </c>
      <c r="C46" s="5" t="str">
        <f>C44</f>
        <v>CH</v>
      </c>
      <c r="D46" t="s">
        <v>787</v>
      </c>
      <c r="E46" t="s">
        <v>8</v>
      </c>
      <c r="F46" s="1">
        <f t="shared" ref="F46:K46" si="24">F47</f>
        <v>0</v>
      </c>
      <c r="G46" s="1">
        <f t="shared" si="24"/>
        <v>0</v>
      </c>
      <c r="H46" s="1">
        <f t="shared" si="24"/>
        <v>0</v>
      </c>
      <c r="I46" s="1">
        <f t="shared" si="24"/>
        <v>0</v>
      </c>
      <c r="J46" s="1">
        <f t="shared" si="24"/>
        <v>0</v>
      </c>
      <c r="K46" s="1">
        <f t="shared" si="24"/>
        <v>0</v>
      </c>
    </row>
    <row r="47" spans="1:11" x14ac:dyDescent="0.35">
      <c r="A47" s="5" t="str">
        <f t="shared" ref="A47" si="25">A45</f>
        <v>STEM</v>
      </c>
      <c r="B47" s="5" t="str">
        <f t="shared" si="1"/>
        <v>SPS3</v>
      </c>
      <c r="C47" s="5" t="str">
        <f t="shared" ref="C47" si="26">C45</f>
        <v>CH</v>
      </c>
      <c r="D47" t="s">
        <v>612</v>
      </c>
      <c r="E47" t="s">
        <v>8</v>
      </c>
      <c r="F47" s="1">
        <v>0</v>
      </c>
      <c r="G47" s="1">
        <v>0</v>
      </c>
      <c r="H47" s="1">
        <v>0</v>
      </c>
      <c r="I47" s="1">
        <v>0</v>
      </c>
      <c r="J47" s="1">
        <f>J43-J45</f>
        <v>0</v>
      </c>
      <c r="K47" s="1">
        <f>K43-K45</f>
        <v>0</v>
      </c>
    </row>
    <row r="48" spans="1:11" x14ac:dyDescent="0.35">
      <c r="A48" s="5" t="str">
        <f>A42</f>
        <v>STEM</v>
      </c>
      <c r="B48" s="5" t="str">
        <f t="shared" si="1"/>
        <v>SPS3</v>
      </c>
      <c r="C48" s="5" t="str">
        <f>C42</f>
        <v>CH</v>
      </c>
      <c r="D48" t="s">
        <v>788</v>
      </c>
      <c r="E48" t="s">
        <v>8</v>
      </c>
      <c r="F48" s="1" cm="1">
        <f t="array" ref="F48">SUMPRODUCT(("urn"=[1]OUT_PrimaryEnergyCons!$C$4:$C$10000)*1,[1]OUT_PrimaryEnergyCons!D$4:D$10000)</f>
        <v>250.94826744103796</v>
      </c>
      <c r="G48" s="1" cm="1">
        <f t="array" ref="G48">SUMPRODUCT(("urn"=[1]OUT_PrimaryEnergyCons!$C$4:$C$10000)*1,[1]OUT_PrimaryEnergyCons!E$4:E$10000)</f>
        <v>253.29990590548024</v>
      </c>
      <c r="H48" s="1" cm="1">
        <f t="array" ref="H48">SUMPRODUCT(("urn"=[1]OUT_PrimaryEnergyCons!$C$4:$C$10000)*1,[1]OUT_PrimaryEnergyCons!F$4:F$10000)</f>
        <v>178.90894710635953</v>
      </c>
      <c r="I48" s="1" cm="1">
        <f t="array" ref="I48">SUMPRODUCT(("urn"=[1]OUT_PrimaryEnergyCons!$C$4:$C$10000)*1,[1]OUT_PrimaryEnergyCons!G$4:G$10000)</f>
        <v>187.17138378703464</v>
      </c>
      <c r="J48" s="1" cm="1">
        <f t="array" ref="J48">SUMPRODUCT(("urn"=[1]OUT_PrimaryEnergyCons!$C$4:$C$10000)*1,[1]OUT_PrimaryEnergyCons!H$4:H$10000)</f>
        <v>98.94571284362685</v>
      </c>
      <c r="K48" s="1" cm="1">
        <f t="array" ref="K48">SUMPRODUCT(("urn"=[1]OUT_PrimaryEnergyCons!$C$4:$C$10000)*1,[1]OUT_PrimaryEnergyCons!I$4:I$10000)</f>
        <v>0</v>
      </c>
    </row>
    <row r="49" spans="1:19" x14ac:dyDescent="0.35">
      <c r="A49" s="5" t="str">
        <f>A37</f>
        <v>STEM</v>
      </c>
      <c r="B49" s="5" t="str">
        <f t="shared" si="1"/>
        <v>SPS3</v>
      </c>
      <c r="C49" s="5" t="str">
        <f>C37</f>
        <v>CH</v>
      </c>
      <c r="D49" t="s">
        <v>789</v>
      </c>
      <c r="E49" t="s">
        <v>8</v>
      </c>
      <c r="F49" s="1">
        <f>SUM(F50:F53)</f>
        <v>97.160070433049043</v>
      </c>
      <c r="G49" s="1">
        <f t="shared" ref="G49:K49" si="27">SUM(G50:G53)</f>
        <v>50.276407527687724</v>
      </c>
      <c r="H49" s="1">
        <f t="shared" si="27"/>
        <v>50.452520854964597</v>
      </c>
      <c r="I49" s="1">
        <f t="shared" si="27"/>
        <v>50.743349294985407</v>
      </c>
      <c r="J49" s="1">
        <f t="shared" si="27"/>
        <v>37.458549918849783</v>
      </c>
      <c r="K49" s="1">
        <f t="shared" si="27"/>
        <v>23.482035798697325</v>
      </c>
    </row>
    <row r="50" spans="1:19" x14ac:dyDescent="0.35">
      <c r="A50" s="5" t="str">
        <f t="shared" si="4"/>
        <v>STEM</v>
      </c>
      <c r="B50" s="5" t="str">
        <f t="shared" si="1"/>
        <v>SPS3</v>
      </c>
      <c r="C50" s="5" t="str">
        <f t="shared" si="5"/>
        <v>CH</v>
      </c>
      <c r="D50" t="s">
        <v>20</v>
      </c>
      <c r="E50" t="s">
        <v>8</v>
      </c>
      <c r="F50" s="1" cm="1">
        <f t="array" ref="F50">SUMPRODUCT(([1]OUT_Electricity_CHP!$B$1:$B$10000="G-INTC-IMP00-AT")*1,([1]OUT_Electricity_CHP!$C$1:$C$10000="Var_Fout")*1,ISNUMBER(SEARCH("ELC",[1]OUT_Electricity_CHP!$D$1:$D$10000))*1,[1]OUT_Electricity_CHP!E$1:E$10000)</f>
        <v>15.013827692184012</v>
      </c>
      <c r="G50" s="1" cm="1">
        <f t="array" ref="G50">SUMPRODUCT(([1]OUT_Electricity_CHP!$B$1:$B$10000="G-INTC-IMP00-AT")*1,([1]OUT_Electricity_CHP!$C$1:$C$10000="Var_Fout")*1,ISNUMBER(SEARCH("ELC",[1]OUT_Electricity_CHP!$D$1:$D$10000))*1,[1]OUT_Electricity_CHP!F$1:F$10000)</f>
        <v>1.0953768841845941</v>
      </c>
      <c r="H50" s="1" cm="1">
        <f t="array" ref="H50">SUMPRODUCT(([1]OUT_Electricity_CHP!$B$1:$B$10000="G-INTC-IMP00-AT")*1,([1]OUT_Electricity_CHP!$C$1:$C$10000="Var_Fout")*1,ISNUMBER(SEARCH("ELC",[1]OUT_Electricity_CHP!$D$1:$D$10000))*1,[1]OUT_Electricity_CHP!G$1:G$10000)</f>
        <v>0.60007686758916845</v>
      </c>
      <c r="I50" s="1" cm="1">
        <f t="array" ref="I50">SUMPRODUCT(([1]OUT_Electricity_CHP!$B$1:$B$10000="G-INTC-IMP00-AT")*1,([1]OUT_Electricity_CHP!$C$1:$C$10000="Var_Fout")*1,ISNUMBER(SEARCH("ELC",[1]OUT_Electricity_CHP!$D$1:$D$10000))*1,[1]OUT_Electricity_CHP!H$1:H$10000)</f>
        <v>0.77180831292977747</v>
      </c>
      <c r="J50" s="1" cm="1">
        <f t="array" ref="J50">SUMPRODUCT(([1]OUT_Electricity_CHP!$B$1:$B$10000="G-INTC-IMP00-AT")*1,([1]OUT_Electricity_CHP!$C$1:$C$10000="Var_Fout")*1,ISNUMBER(SEARCH("ELC",[1]OUT_Electricity_CHP!$D$1:$D$10000))*1,[1]OUT_Electricity_CHP!I$1:I$10000)</f>
        <v>0.58026356181615313</v>
      </c>
      <c r="K50" s="1" cm="1">
        <f t="array" ref="K50">SUMPRODUCT(([1]OUT_Electricity_CHP!$B$1:$B$10000="G-INTC-IMP00-AT")*1,([1]OUT_Electricity_CHP!$C$1:$C$10000="Var_Fout")*1,ISNUMBER(SEARCH("ELC",[1]OUT_Electricity_CHP!$D$1:$D$10000))*1,[1]OUT_Electricity_CHP!J$1:J$10000)</f>
        <v>0.68247806031119951</v>
      </c>
    </row>
    <row r="51" spans="1:19" x14ac:dyDescent="0.35">
      <c r="A51" s="5" t="str">
        <f t="shared" si="4"/>
        <v>STEM</v>
      </c>
      <c r="B51" s="5" t="str">
        <f t="shared" si="1"/>
        <v>SPS3</v>
      </c>
      <c r="C51" s="5" t="str">
        <f t="shared" si="5"/>
        <v>CH</v>
      </c>
      <c r="D51" t="s">
        <v>21</v>
      </c>
      <c r="E51" t="s">
        <v>8</v>
      </c>
      <c r="F51" s="1" cm="1">
        <f t="array" ref="F51">SUMPRODUCT(([1]OUT_Electricity_CHP!$B$1:$B$10000="G-INTC-IMP00-fr")*1,([1]OUT_Electricity_CHP!$C$1:$C$10000="Var_Fout")*1,ISNUMBER(SEARCH("ELC",[1]OUT_Electricity_CHP!$D$1:$D$10000))*1,[1]OUT_Electricity_CHP!E$1:E$10000)</f>
        <v>28.948642347132356</v>
      </c>
      <c r="G51" s="1" cm="1">
        <f t="array" ref="G51">SUMPRODUCT(([1]OUT_Electricity_CHP!$B$1:$B$10000="G-INTC-IMP00-fr")*1,([1]OUT_Electricity_CHP!$C$1:$C$10000="Var_Fout")*1,ISNUMBER(SEARCH("ELC",[1]OUT_Electricity_CHP!$D$1:$D$10000))*1,[1]OUT_Electricity_CHP!F$1:F$10000)</f>
        <v>21.260067647473043</v>
      </c>
      <c r="H51" s="1" cm="1">
        <f t="array" ref="H51">SUMPRODUCT(([1]OUT_Electricity_CHP!$B$1:$B$10000="G-INTC-IMP00-fr")*1,([1]OUT_Electricity_CHP!$C$1:$C$10000="Var_Fout")*1,ISNUMBER(SEARCH("ELC",[1]OUT_Electricity_CHP!$D$1:$D$10000))*1,[1]OUT_Electricity_CHP!G$1:G$10000)</f>
        <v>25.967110960254885</v>
      </c>
      <c r="I51" s="1" cm="1">
        <f t="array" ref="I51">SUMPRODUCT(([1]OUT_Electricity_CHP!$B$1:$B$10000="G-INTC-IMP00-fr")*1,([1]OUT_Electricity_CHP!$C$1:$C$10000="Var_Fout")*1,ISNUMBER(SEARCH("ELC",[1]OUT_Electricity_CHP!$D$1:$D$10000))*1,[1]OUT_Electricity_CHP!H$1:H$10000)</f>
        <v>17.911748406232611</v>
      </c>
      <c r="J51" s="1" cm="1">
        <f t="array" ref="J51">SUMPRODUCT(([1]OUT_Electricity_CHP!$B$1:$B$10000="G-INTC-IMP00-fr")*1,([1]OUT_Electricity_CHP!$C$1:$C$10000="Var_Fout")*1,ISNUMBER(SEARCH("ELC",[1]OUT_Electricity_CHP!$D$1:$D$10000))*1,[1]OUT_Electricity_CHP!I$1:I$10000)</f>
        <v>11.597881634919071</v>
      </c>
      <c r="K51" s="1" cm="1">
        <f t="array" ref="K51">SUMPRODUCT(([1]OUT_Electricity_CHP!$B$1:$B$10000="G-INTC-IMP00-fr")*1,([1]OUT_Electricity_CHP!$C$1:$C$10000="Var_Fout")*1,ISNUMBER(SEARCH("ELC",[1]OUT_Electricity_CHP!$D$1:$D$10000))*1,[1]OUT_Electricity_CHP!J$1:J$10000)</f>
        <v>9.0819617670013457</v>
      </c>
    </row>
    <row r="52" spans="1:19" x14ac:dyDescent="0.35">
      <c r="A52" s="5" t="str">
        <f t="shared" si="4"/>
        <v>STEM</v>
      </c>
      <c r="B52" s="5" t="str">
        <f t="shared" si="1"/>
        <v>SPS3</v>
      </c>
      <c r="C52" s="5" t="str">
        <f t="shared" si="5"/>
        <v>CH</v>
      </c>
      <c r="D52" t="s">
        <v>22</v>
      </c>
      <c r="E52" t="s">
        <v>8</v>
      </c>
      <c r="F52" s="1" cm="1">
        <f t="array" ref="F52">SUMPRODUCT(([1]OUT_Electricity_CHP!$B$1:$B$10000="G-INTC-IMP00-de")*1,([1]OUT_Electricity_CHP!$C$1:$C$10000="Var_Fout")*1,ISNUMBER(SEARCH("ELC",[1]OUT_Electricity_CHP!$D$1:$D$10000))*1,[1]OUT_Electricity_CHP!E$1:E$10000)</f>
        <v>46.398495677142932</v>
      </c>
      <c r="G52" s="1" cm="1">
        <f t="array" ref="G52">SUMPRODUCT(([1]OUT_Electricity_CHP!$B$1:$B$10000="G-INTC-IMP00-de")*1,([1]OUT_Electricity_CHP!$C$1:$C$10000="Var_Fout")*1,ISNUMBER(SEARCH("ELC",[1]OUT_Electricity_CHP!$D$1:$D$10000))*1,[1]OUT_Electricity_CHP!F$1:F$10000)</f>
        <v>27.919799486953778</v>
      </c>
      <c r="H52" s="1" cm="1">
        <f t="array" ref="H52">SUMPRODUCT(([1]OUT_Electricity_CHP!$B$1:$B$10000="G-INTC-IMP00-de")*1,([1]OUT_Electricity_CHP!$C$1:$C$10000="Var_Fout")*1,ISNUMBER(SEARCH("ELC",[1]OUT_Electricity_CHP!$D$1:$D$10000))*1,[1]OUT_Electricity_CHP!G$1:G$10000)</f>
        <v>23.884316031111201</v>
      </c>
      <c r="I52" s="1" cm="1">
        <f t="array" ref="I52">SUMPRODUCT(([1]OUT_Electricity_CHP!$B$1:$B$10000="G-INTC-IMP00-de")*1,([1]OUT_Electricity_CHP!$C$1:$C$10000="Var_Fout")*1,ISNUMBER(SEARCH("ELC",[1]OUT_Electricity_CHP!$D$1:$D$10000))*1,[1]OUT_Electricity_CHP!H$1:H$10000)</f>
        <v>32.059304849764857</v>
      </c>
      <c r="J52" s="1" cm="1">
        <f t="array" ref="J52">SUMPRODUCT(([1]OUT_Electricity_CHP!$B$1:$B$10000="G-INTC-IMP00-de")*1,([1]OUT_Electricity_CHP!$C$1:$C$10000="Var_Fout")*1,ISNUMBER(SEARCH("ELC",[1]OUT_Electricity_CHP!$D$1:$D$10000))*1,[1]OUT_Electricity_CHP!I$1:I$10000)</f>
        <v>25.279721890668348</v>
      </c>
      <c r="K52" s="1" cm="1">
        <f t="array" ref="K52">SUMPRODUCT(([1]OUT_Electricity_CHP!$B$1:$B$10000="G-INTC-IMP00-de")*1,([1]OUT_Electricity_CHP!$C$1:$C$10000="Var_Fout")*1,ISNUMBER(SEARCH("ELC",[1]OUT_Electricity_CHP!$D$1:$D$10000))*1,[1]OUT_Electricity_CHP!J$1:J$10000)</f>
        <v>13.717253545643583</v>
      </c>
    </row>
    <row r="53" spans="1:19" x14ac:dyDescent="0.35">
      <c r="A53" s="5" t="str">
        <f t="shared" si="4"/>
        <v>STEM</v>
      </c>
      <c r="B53" s="5" t="str">
        <f t="shared" si="1"/>
        <v>SPS3</v>
      </c>
      <c r="C53" s="5" t="str">
        <f t="shared" si="5"/>
        <v>CH</v>
      </c>
      <c r="D53" t="s">
        <v>23</v>
      </c>
      <c r="E53" t="s">
        <v>8</v>
      </c>
      <c r="F53" s="1" cm="1">
        <f t="array" ref="F53">SUMPRODUCT(([1]OUT_Electricity_CHP!$B$1:$B$10000="G-INTC-IMP00-it")*1,([1]OUT_Electricity_CHP!$C$1:$C$10000="Var_Fout")*1,ISNUMBER(SEARCH("ELC",[1]OUT_Electricity_CHP!$D$1:$D$10000))*1,[1]OUT_Electricity_CHP!E$1:E$10000)</f>
        <v>6.7991047165897394</v>
      </c>
      <c r="G53" s="1" cm="1">
        <f t="array" ref="G53">SUMPRODUCT(([1]OUT_Electricity_CHP!$B$1:$B$10000="G-INTC-IMP00-it")*1,([1]OUT_Electricity_CHP!$C$1:$C$10000="Var_Fout")*1,ISNUMBER(SEARCH("ELC",[1]OUT_Electricity_CHP!$D$1:$D$10000))*1,[1]OUT_Electricity_CHP!F$1:F$10000)</f>
        <v>1.1635090763049468E-3</v>
      </c>
      <c r="H53" s="1" cm="1">
        <f t="array" ref="H53">SUMPRODUCT(([1]OUT_Electricity_CHP!$B$1:$B$10000="G-INTC-IMP00-it")*1,([1]OUT_Electricity_CHP!$C$1:$C$10000="Var_Fout")*1,ISNUMBER(SEARCH("ELC",[1]OUT_Electricity_CHP!$D$1:$D$10000))*1,[1]OUT_Electricity_CHP!G$1:G$10000)</f>
        <v>1.0169960093431266E-3</v>
      </c>
      <c r="I53" s="1" cm="1">
        <f t="array" ref="I53">SUMPRODUCT(([1]OUT_Electricity_CHP!$B$1:$B$10000="G-INTC-IMP00-it")*1,([1]OUT_Electricity_CHP!$C$1:$C$10000="Var_Fout")*1,ISNUMBER(SEARCH("ELC",[1]OUT_Electricity_CHP!$D$1:$D$10000))*1,[1]OUT_Electricity_CHP!H$1:H$10000)</f>
        <v>4.8772605815983698E-4</v>
      </c>
      <c r="J53" s="1" cm="1">
        <f t="array" ref="J53">SUMPRODUCT(([1]OUT_Electricity_CHP!$B$1:$B$10000="G-INTC-IMP00-it")*1,([1]OUT_Electricity_CHP!$C$1:$C$10000="Var_Fout")*1,ISNUMBER(SEARCH("ELC",[1]OUT_Electricity_CHP!$D$1:$D$10000))*1,[1]OUT_Electricity_CHP!I$1:I$10000)</f>
        <v>6.8283144621202572E-4</v>
      </c>
      <c r="K53" s="1" cm="1">
        <f t="array" ref="K53">SUMPRODUCT(([1]OUT_Electricity_CHP!$B$1:$B$10000="G-INTC-IMP00-it")*1,([1]OUT_Electricity_CHP!$C$1:$C$10000="Var_Fout")*1,ISNUMBER(SEARCH("ELC",[1]OUT_Electricity_CHP!$D$1:$D$10000))*1,[1]OUT_Electricity_CHP!J$1:J$10000)</f>
        <v>3.4242574119387395E-4</v>
      </c>
    </row>
    <row r="54" spans="1:19" x14ac:dyDescent="0.35">
      <c r="A54" s="5" t="str">
        <f t="shared" ref="A54" si="28">A53</f>
        <v>STEM</v>
      </c>
      <c r="B54" s="5" t="str">
        <f t="shared" si="1"/>
        <v>SPS3</v>
      </c>
      <c r="C54" s="5" t="str">
        <f t="shared" ref="C54" si="29">C53</f>
        <v>CH</v>
      </c>
      <c r="D54" t="s">
        <v>790</v>
      </c>
      <c r="E54" t="s">
        <v>8</v>
      </c>
      <c r="F54" s="1" cm="1">
        <f t="array" ref="F54">SUMPRODUCT(("h2"=[1]OUT_PrimaryEnergyCons!$C$4:$C$10000)*1,[1]OUT_PrimaryEnergyCons!D$4:D$10000)</f>
        <v>0</v>
      </c>
      <c r="G54" s="1" cm="1">
        <f t="array" ref="G54">SUMPRODUCT(("h2"=[1]OUT_PrimaryEnergyCons!$C$4:$C$10000)*1,[1]OUT_PrimaryEnergyCons!E$4:E$10000)</f>
        <v>0</v>
      </c>
      <c r="H54" s="1" cm="1">
        <f t="array" ref="H54">SUMPRODUCT(("h2"=[1]OUT_PrimaryEnergyCons!$C$4:$C$10000)*1,[1]OUT_PrimaryEnergyCons!F$4:F$10000)</f>
        <v>0</v>
      </c>
      <c r="I54" s="1" cm="1">
        <f t="array" ref="I54">SUMPRODUCT(("h2"=[1]OUT_PrimaryEnergyCons!$C$4:$C$10000)*1,[1]OUT_PrimaryEnergyCons!G$4:G$10000)</f>
        <v>0</v>
      </c>
      <c r="J54" s="1" cm="1">
        <f t="array" ref="J54">SUMPRODUCT(("h2"=[1]OUT_PrimaryEnergyCons!$C$4:$C$10000)*1,[1]OUT_PrimaryEnergyCons!H$4:H$10000)</f>
        <v>0</v>
      </c>
      <c r="K54" s="1" cm="1">
        <f t="array" ref="K54">SUMPRODUCT(("h2"=[1]OUT_PrimaryEnergyCons!$C$4:$C$10000)*1,[1]OUT_PrimaryEnergyCons!I$4:I$10000)</f>
        <v>0</v>
      </c>
    </row>
    <row r="55" spans="1:19" x14ac:dyDescent="0.35">
      <c r="A55" s="9" t="str">
        <f>A53</f>
        <v>STEM</v>
      </c>
      <c r="B55" s="9" t="str">
        <f t="shared" si="1"/>
        <v>SPS3</v>
      </c>
      <c r="C55" s="2" t="str">
        <f>C53</f>
        <v>CH</v>
      </c>
      <c r="D55" s="2" t="s">
        <v>24</v>
      </c>
      <c r="E55" s="2" t="s">
        <v>8</v>
      </c>
      <c r="F55" s="3">
        <f>F56</f>
        <v>117.17006340838242</v>
      </c>
      <c r="G55" s="3">
        <f t="shared" ref="G55:K55" si="30">G56</f>
        <v>35.150611219510232</v>
      </c>
      <c r="H55" s="3">
        <f t="shared" si="30"/>
        <v>54.795268351411096</v>
      </c>
      <c r="I55" s="3">
        <f t="shared" si="30"/>
        <v>50.743345342362204</v>
      </c>
      <c r="J55" s="3">
        <f t="shared" si="30"/>
        <v>21.376691776664575</v>
      </c>
      <c r="K55" s="3">
        <f t="shared" si="30"/>
        <v>20.270476907846064</v>
      </c>
      <c r="N55" s="1"/>
      <c r="O55" s="1"/>
      <c r="P55" s="1"/>
      <c r="Q55" s="1"/>
      <c r="R55" s="1"/>
      <c r="S55" s="1"/>
    </row>
    <row r="56" spans="1:19" x14ac:dyDescent="0.35">
      <c r="A56" s="5" t="str">
        <f>A55</f>
        <v>STEM</v>
      </c>
      <c r="B56" s="5" t="str">
        <f t="shared" si="1"/>
        <v>SPS3</v>
      </c>
      <c r="C56" s="5" t="str">
        <f t="shared" si="5"/>
        <v>CH</v>
      </c>
      <c r="D56" t="s">
        <v>791</v>
      </c>
      <c r="E56" t="str">
        <f>E55</f>
        <v>PJ/yr.</v>
      </c>
      <c r="F56" s="1">
        <f>SUM(F57:F60)</f>
        <v>117.17006340838242</v>
      </c>
      <c r="G56" s="1">
        <f t="shared" ref="G56:K56" si="31">SUM(G57:G60)</f>
        <v>35.150611219510232</v>
      </c>
      <c r="H56" s="1">
        <f t="shared" si="31"/>
        <v>54.795268351411096</v>
      </c>
      <c r="I56" s="1">
        <f t="shared" si="31"/>
        <v>50.743345342362204</v>
      </c>
      <c r="J56" s="1">
        <f t="shared" si="31"/>
        <v>21.376691776664575</v>
      </c>
      <c r="K56" s="1">
        <f t="shared" si="31"/>
        <v>20.270476907846064</v>
      </c>
      <c r="N56" s="1"/>
    </row>
    <row r="57" spans="1:19" x14ac:dyDescent="0.35">
      <c r="A57" s="5" t="str">
        <f t="shared" ref="A57:A61" si="32">A56</f>
        <v>STEM</v>
      </c>
      <c r="B57" s="5" t="str">
        <f t="shared" si="1"/>
        <v>SPS3</v>
      </c>
      <c r="C57" s="5" t="str">
        <f t="shared" si="5"/>
        <v>CH</v>
      </c>
      <c r="D57" t="s">
        <v>25</v>
      </c>
      <c r="E57" t="str">
        <f t="shared" ref="E57:E60" si="33">E56</f>
        <v>PJ/yr.</v>
      </c>
      <c r="F57" s="1" cm="1">
        <f t="array" ref="F57">SUMPRODUCT(([1]OUT_Electricity_CHP!$B$1:$B$10000="G-INTC-exp00-AT")*1,([1]OUT_Electricity_CHP!$C$1:$C$10000="Var_Fout")*1,ISNUMBER(SEARCH("ELC",[1]OUT_Electricity_CHP!$D$1:$D$10000))*1,[1]OUT_Electricity_CHP!E$1:E$10000)</f>
        <v>6.2295772555243447</v>
      </c>
      <c r="G57" s="1" cm="1">
        <f t="array" ref="G57">SUMPRODUCT(([1]OUT_Electricity_CHP!$B$1:$B$10000="G-INTC-exp00-AT")*1,([1]OUT_Electricity_CHP!$C$1:$C$10000="Var_Fout")*1,ISNUMBER(SEARCH("ELC",[1]OUT_Electricity_CHP!$D$1:$D$10000))*1,[1]OUT_Electricity_CHP!F$1:F$10000)</f>
        <v>1.9254049246307935E-3</v>
      </c>
      <c r="H57" s="1" cm="1">
        <f t="array" ref="H57">SUMPRODUCT(([1]OUT_Electricity_CHP!$B$1:$B$10000="G-INTC-exp00-AT")*1,([1]OUT_Electricity_CHP!$C$1:$C$10000="Var_Fout")*1,ISNUMBER(SEARCH("ELC",[1]OUT_Electricity_CHP!$D$1:$D$10000))*1,[1]OUT_Electricity_CHP!G$1:G$10000)</f>
        <v>2.5049203580646525E-3</v>
      </c>
      <c r="I57" s="1" cm="1">
        <f t="array" ref="I57">SUMPRODUCT(([1]OUT_Electricity_CHP!$B$1:$B$10000="G-INTC-exp00-AT")*1,([1]OUT_Electricity_CHP!$C$1:$C$10000="Var_Fout")*1,ISNUMBER(SEARCH("ELC",[1]OUT_Electricity_CHP!$D$1:$D$10000))*1,[1]OUT_Electricity_CHP!H$1:H$10000)</f>
        <v>6.0406218698351596E-4</v>
      </c>
      <c r="J57" s="1" cm="1">
        <f t="array" ref="J57">SUMPRODUCT(([1]OUT_Electricity_CHP!$B$1:$B$10000="G-INTC-exp00-AT")*1,([1]OUT_Electricity_CHP!$C$1:$C$10000="Var_Fout")*1,ISNUMBER(SEARCH("ELC",[1]OUT_Electricity_CHP!$D$1:$D$10000))*1,[1]OUT_Electricity_CHP!I$1:I$10000)</f>
        <v>1.2081136713127673E-3</v>
      </c>
      <c r="K57" s="1" cm="1">
        <f t="array" ref="K57">SUMPRODUCT(([1]OUT_Electricity_CHP!$B$1:$B$10000="G-INTC-exp00-AT")*1,([1]OUT_Electricity_CHP!$C$1:$C$10000="Var_Fout")*1,ISNUMBER(SEARCH("ELC",[1]OUT_Electricity_CHP!$D$1:$D$10000))*1,[1]OUT_Electricity_CHP!J$1:J$10000)</f>
        <v>5.7243532144304584E-4</v>
      </c>
    </row>
    <row r="58" spans="1:19" x14ac:dyDescent="0.35">
      <c r="A58" s="5" t="str">
        <f t="shared" si="32"/>
        <v>STEM</v>
      </c>
      <c r="B58" s="5" t="str">
        <f t="shared" si="1"/>
        <v>SPS3</v>
      </c>
      <c r="C58" s="5" t="str">
        <f t="shared" si="5"/>
        <v>CH</v>
      </c>
      <c r="D58" t="s">
        <v>26</v>
      </c>
      <c r="E58" t="str">
        <f t="shared" si="33"/>
        <v>PJ/yr.</v>
      </c>
      <c r="F58" s="1" cm="1">
        <f t="array" ref="F58">SUMPRODUCT(([1]OUT_Electricity_CHP!$B$1:$B$10000="G-INTC-exp00-fr")*1,([1]OUT_Electricity_CHP!$C$1:$C$10000="Var_Fout")*1,ISNUMBER(SEARCH("ELC",[1]OUT_Electricity_CHP!$D$1:$D$10000))*1,[1]OUT_Electricity_CHP!E$1:E$10000)</f>
        <v>12.753375479763276</v>
      </c>
      <c r="G58" s="1" cm="1">
        <f t="array" ref="G58">SUMPRODUCT(([1]OUT_Electricity_CHP!$B$1:$B$10000="G-INTC-exp00-fr")*1,([1]OUT_Electricity_CHP!$C$1:$C$10000="Var_Fout")*1,ISNUMBER(SEARCH("ELC",[1]OUT_Electricity_CHP!$D$1:$D$10000))*1,[1]OUT_Electricity_CHP!F$1:F$10000)</f>
        <v>1.7999901086192985E-3</v>
      </c>
      <c r="H58" s="1" cm="1">
        <f t="array" ref="H58">SUMPRODUCT(([1]OUT_Electricity_CHP!$B$1:$B$10000="G-INTC-exp00-fr")*1,([1]OUT_Electricity_CHP!$C$1:$C$10000="Var_Fout")*1,ISNUMBER(SEARCH("ELC",[1]OUT_Electricity_CHP!$D$1:$D$10000))*1,[1]OUT_Electricity_CHP!G$1:G$10000)</f>
        <v>1.7806337151843445E-3</v>
      </c>
      <c r="I58" s="1" cm="1">
        <f t="array" ref="I58">SUMPRODUCT(([1]OUT_Electricity_CHP!$B$1:$B$10000="G-INTC-exp00-fr")*1,([1]OUT_Electricity_CHP!$C$1:$C$10000="Var_Fout")*1,ISNUMBER(SEARCH("ELC",[1]OUT_Electricity_CHP!$D$1:$D$10000))*1,[1]OUT_Electricity_CHP!H$1:H$10000)</f>
        <v>8.3915544989331548E-4</v>
      </c>
      <c r="J58" s="1" cm="1">
        <f t="array" ref="J58">SUMPRODUCT(([1]OUT_Electricity_CHP!$B$1:$B$10000="G-INTC-exp00-fr")*1,([1]OUT_Electricity_CHP!$C$1:$C$10000="Var_Fout")*1,ISNUMBER(SEARCH("ELC",[1]OUT_Electricity_CHP!$D$1:$D$10000))*1,[1]OUT_Electricity_CHP!I$1:I$10000)</f>
        <v>0.25068633528972267</v>
      </c>
      <c r="K58" s="1" cm="1">
        <f t="array" ref="K58">SUMPRODUCT(([1]OUT_Electricity_CHP!$B$1:$B$10000="G-INTC-exp00-fr")*1,([1]OUT_Electricity_CHP!$C$1:$C$10000="Var_Fout")*1,ISNUMBER(SEARCH("ELC",[1]OUT_Electricity_CHP!$D$1:$D$10000))*1,[1]OUT_Electricity_CHP!J$1:J$10000)</f>
        <v>1.4516956248018367</v>
      </c>
    </row>
    <row r="59" spans="1:19" x14ac:dyDescent="0.35">
      <c r="A59" s="5" t="str">
        <f t="shared" si="32"/>
        <v>STEM</v>
      </c>
      <c r="B59" s="5" t="str">
        <f t="shared" si="1"/>
        <v>SPS3</v>
      </c>
      <c r="C59" s="5" t="str">
        <f t="shared" si="5"/>
        <v>CH</v>
      </c>
      <c r="D59" t="s">
        <v>27</v>
      </c>
      <c r="E59" t="str">
        <f t="shared" si="33"/>
        <v>PJ/yr.</v>
      </c>
      <c r="F59" s="1" cm="1">
        <f t="array" ref="F59">SUMPRODUCT(([1]OUT_Electricity_CHP!$B$1:$B$10000="G-INTC-exp00-de")*1,([1]OUT_Electricity_CHP!$C$1:$C$10000="Var_Fout")*1,ISNUMBER(SEARCH("ELC",[1]OUT_Electricity_CHP!$D$1:$D$10000))*1,[1]OUT_Electricity_CHP!E$1:E$10000)</f>
        <v>26.492985666738182</v>
      </c>
      <c r="G59" s="1" cm="1">
        <f t="array" ref="G59">SUMPRODUCT(([1]OUT_Electricity_CHP!$B$1:$B$10000="G-INTC-exp00-de")*1,([1]OUT_Electricity_CHP!$C$1:$C$10000="Var_Fout")*1,ISNUMBER(SEARCH("ELC",[1]OUT_Electricity_CHP!$D$1:$D$10000))*1,[1]OUT_Electricity_CHP!F$1:F$10000)</f>
        <v>1.8525769686519055E-3</v>
      </c>
      <c r="H59" s="1" cm="1">
        <f t="array" ref="H59">SUMPRODUCT(([1]OUT_Electricity_CHP!$B$1:$B$10000="G-INTC-exp00-de")*1,([1]OUT_Electricity_CHP!$C$1:$C$10000="Var_Fout")*1,ISNUMBER(SEARCH("ELC",[1]OUT_Electricity_CHP!$D$1:$D$10000))*1,[1]OUT_Electricity_CHP!G$1:G$10000)</f>
        <v>2.1699988003599183E-3</v>
      </c>
      <c r="I59" s="1" cm="1">
        <f t="array" ref="I59">SUMPRODUCT(([1]OUT_Electricity_CHP!$B$1:$B$10000="G-INTC-exp00-de")*1,([1]OUT_Electricity_CHP!$C$1:$C$10000="Var_Fout")*1,ISNUMBER(SEARCH("ELC",[1]OUT_Electricity_CHP!$D$1:$D$10000))*1,[1]OUT_Electricity_CHP!H$1:H$10000)</f>
        <v>1.2998078946820698E-3</v>
      </c>
      <c r="J59" s="1" cm="1">
        <f t="array" ref="J59">SUMPRODUCT(([1]OUT_Electricity_CHP!$B$1:$B$10000="G-INTC-exp00-de")*1,([1]OUT_Electricity_CHP!$C$1:$C$10000="Var_Fout")*1,ISNUMBER(SEARCH("ELC",[1]OUT_Electricity_CHP!$D$1:$D$10000))*1,[1]OUT_Electricity_CHP!I$1:I$10000)</f>
        <v>3.6725748209389653</v>
      </c>
      <c r="K59" s="1" cm="1">
        <f t="array" ref="K59">SUMPRODUCT(([1]OUT_Electricity_CHP!$B$1:$B$10000="G-INTC-exp00-de")*1,([1]OUT_Electricity_CHP!$C$1:$C$10000="Var_Fout")*1,ISNUMBER(SEARCH("ELC",[1]OUT_Electricity_CHP!$D$1:$D$10000))*1,[1]OUT_Electricity_CHP!J$1:J$10000)</f>
        <v>1.1479525672723023</v>
      </c>
    </row>
    <row r="60" spans="1:19" x14ac:dyDescent="0.35">
      <c r="A60" s="5" t="str">
        <f t="shared" si="32"/>
        <v>STEM</v>
      </c>
      <c r="B60" s="5" t="str">
        <f t="shared" si="1"/>
        <v>SPS3</v>
      </c>
      <c r="C60" s="5" t="str">
        <f t="shared" si="5"/>
        <v>CH</v>
      </c>
      <c r="D60" t="s">
        <v>28</v>
      </c>
      <c r="E60" t="str">
        <f t="shared" si="33"/>
        <v>PJ/yr.</v>
      </c>
      <c r="F60" s="1" cm="1">
        <f t="array" ref="F60">SUMPRODUCT(([1]OUT_Electricity_CHP!$B$1:$B$10000="G-INTC-exp00-it")*1,([1]OUT_Electricity_CHP!$C$1:$C$10000="Var_Fout")*1,ISNUMBER(SEARCH("ELC",[1]OUT_Electricity_CHP!$D$1:$D$10000))*1,[1]OUT_Electricity_CHP!E$1:E$10000)</f>
        <v>71.694125006356614</v>
      </c>
      <c r="G60" s="1" cm="1">
        <f t="array" ref="G60">SUMPRODUCT(([1]OUT_Electricity_CHP!$B$1:$B$10000="G-INTC-exp00-it")*1,([1]OUT_Electricity_CHP!$C$1:$C$10000="Var_Fout")*1,ISNUMBER(SEARCH("ELC",[1]OUT_Electricity_CHP!$D$1:$D$10000))*1,[1]OUT_Electricity_CHP!F$1:F$10000)</f>
        <v>35.14503324750833</v>
      </c>
      <c r="H60" s="1" cm="1">
        <f t="array" ref="H60">SUMPRODUCT(([1]OUT_Electricity_CHP!$B$1:$B$10000="G-INTC-exp00-it")*1,([1]OUT_Electricity_CHP!$C$1:$C$10000="Var_Fout")*1,ISNUMBER(SEARCH("ELC",[1]OUT_Electricity_CHP!$D$1:$D$10000))*1,[1]OUT_Electricity_CHP!G$1:G$10000)</f>
        <v>54.788812798537485</v>
      </c>
      <c r="I60" s="1" cm="1">
        <f t="array" ref="I60">SUMPRODUCT(([1]OUT_Electricity_CHP!$B$1:$B$10000="G-INTC-exp00-it")*1,([1]OUT_Electricity_CHP!$C$1:$C$10000="Var_Fout")*1,ISNUMBER(SEARCH("ELC",[1]OUT_Electricity_CHP!$D$1:$D$10000))*1,[1]OUT_Electricity_CHP!H$1:H$10000)</f>
        <v>50.740602316830646</v>
      </c>
      <c r="J60" s="1" cm="1">
        <f t="array" ref="J60">SUMPRODUCT(([1]OUT_Electricity_CHP!$B$1:$B$10000="G-INTC-exp00-it")*1,([1]OUT_Electricity_CHP!$C$1:$C$10000="Var_Fout")*1,ISNUMBER(SEARCH("ELC",[1]OUT_Electricity_CHP!$D$1:$D$10000))*1,[1]OUT_Electricity_CHP!I$1:I$10000)</f>
        <v>17.452222506764574</v>
      </c>
      <c r="K60" s="1" cm="1">
        <f t="array" ref="K60">SUMPRODUCT(([1]OUT_Electricity_CHP!$B$1:$B$10000="G-INTC-exp00-it")*1,([1]OUT_Electricity_CHP!$C$1:$C$10000="Var_Fout")*1,ISNUMBER(SEARCH("ELC",[1]OUT_Electricity_CHP!$D$1:$D$10000))*1,[1]OUT_Electricity_CHP!J$1:J$10000)</f>
        <v>17.670256280450481</v>
      </c>
    </row>
    <row r="61" spans="1:19" x14ac:dyDescent="0.35">
      <c r="A61" s="9" t="str">
        <f t="shared" si="32"/>
        <v>STEM</v>
      </c>
      <c r="B61" s="9" t="str">
        <f t="shared" si="1"/>
        <v>SPS3</v>
      </c>
      <c r="C61" s="2" t="str">
        <f t="shared" ref="C61:C62" si="34">C60</f>
        <v>CH</v>
      </c>
      <c r="D61" s="2" t="s">
        <v>29</v>
      </c>
      <c r="E61" s="2" t="s">
        <v>8</v>
      </c>
      <c r="F61" s="3">
        <f>SUM(F62,F64,F68,F80,F128,F149,F157,F159,F167,F171,F165)</f>
        <v>250.79314279198712</v>
      </c>
      <c r="G61" s="3">
        <f t="shared" ref="G61:K61" si="35">SUM(G62,G64,G72,G80,G128,G149,G157,G159,G167,G171,G165)</f>
        <v>229.32542747280439</v>
      </c>
      <c r="H61" s="3">
        <f t="shared" si="35"/>
        <v>240.05575375360741</v>
      </c>
      <c r="I61" s="3">
        <f t="shared" si="35"/>
        <v>290.08781737957844</v>
      </c>
      <c r="J61" s="3">
        <f t="shared" si="35"/>
        <v>265.47969018808516</v>
      </c>
      <c r="K61" s="3">
        <f t="shared" si="35"/>
        <v>271.16239700150942</v>
      </c>
    </row>
    <row r="62" spans="1:19" x14ac:dyDescent="0.35">
      <c r="A62" s="5" t="str">
        <f>A61</f>
        <v>STEM</v>
      </c>
      <c r="B62" s="5" t="str">
        <f t="shared" si="1"/>
        <v>SPS3</v>
      </c>
      <c r="C62" s="5" t="str">
        <f t="shared" si="34"/>
        <v>CH</v>
      </c>
      <c r="D62" t="s">
        <v>792</v>
      </c>
      <c r="E62" t="str">
        <f>E60</f>
        <v>PJ/yr.</v>
      </c>
      <c r="F62" s="1">
        <f>+F63</f>
        <v>82.760011899668271</v>
      </c>
      <c r="G62" s="1">
        <f t="shared" ref="G62:K62" si="36">+G63</f>
        <v>82.759930071132032</v>
      </c>
      <c r="H62" s="1">
        <f t="shared" si="36"/>
        <v>58.251095614920708</v>
      </c>
      <c r="I62" s="1">
        <f t="shared" si="36"/>
        <v>61.801725554688808</v>
      </c>
      <c r="J62" s="1">
        <f t="shared" si="36"/>
        <v>32.820807094630482</v>
      </c>
      <c r="K62" s="1">
        <f t="shared" si="36"/>
        <v>0</v>
      </c>
    </row>
    <row r="63" spans="1:19" x14ac:dyDescent="0.35">
      <c r="A63" s="5" t="str">
        <f t="shared" ref="A63:B147" si="37">A62</f>
        <v>STEM</v>
      </c>
      <c r="B63" s="5" t="str">
        <f t="shared" si="1"/>
        <v>SPS3</v>
      </c>
      <c r="C63" s="5" t="str">
        <f t="shared" ref="C63:C147" si="38">C62</f>
        <v>CH</v>
      </c>
      <c r="D63" t="s">
        <v>30</v>
      </c>
      <c r="E63" t="str">
        <f>E61</f>
        <v>PJ/yr.</v>
      </c>
      <c r="F63" s="1">
        <f>'[1]Electricity and CHPs'!B14</f>
        <v>82.760011899668271</v>
      </c>
      <c r="G63" s="1">
        <f>'[1]Electricity and CHPs'!C14</f>
        <v>82.759930071132032</v>
      </c>
      <c r="H63" s="1">
        <f>'[1]Electricity and CHPs'!D14</f>
        <v>58.251095614920708</v>
      </c>
      <c r="I63" s="1">
        <f>'[1]Electricity and CHPs'!E14</f>
        <v>61.801725554688808</v>
      </c>
      <c r="J63" s="1">
        <f>'[1]Electricity and CHPs'!F14</f>
        <v>32.820807094630482</v>
      </c>
      <c r="K63" s="1">
        <f>'[1]Electricity and CHPs'!G14</f>
        <v>0</v>
      </c>
    </row>
    <row r="64" spans="1:19" x14ac:dyDescent="0.35">
      <c r="A64" s="5" t="str">
        <f t="shared" si="37"/>
        <v>STEM</v>
      </c>
      <c r="B64" s="5" t="str">
        <f t="shared" si="1"/>
        <v>SPS3</v>
      </c>
      <c r="C64" s="5" t="str">
        <f t="shared" si="38"/>
        <v>CH</v>
      </c>
      <c r="D64" t="s">
        <v>793</v>
      </c>
      <c r="E64" t="str">
        <f>E63</f>
        <v>PJ/yr.</v>
      </c>
      <c r="F64" s="1">
        <f>SUM(F65:F67)</f>
        <v>146.22001671210819</v>
      </c>
      <c r="G64" s="1">
        <f t="shared" ref="G64:K64" si="39">SUM(G65:G67)</f>
        <v>121.59983580210275</v>
      </c>
      <c r="H64" s="1">
        <f t="shared" si="39"/>
        <v>139.93058026232552</v>
      </c>
      <c r="I64" s="1">
        <f t="shared" si="39"/>
        <v>179.36710633843308</v>
      </c>
      <c r="J64" s="1">
        <f t="shared" si="39"/>
        <v>148.86406352827075</v>
      </c>
      <c r="K64" s="1">
        <f t="shared" si="39"/>
        <v>149.22004459344879</v>
      </c>
    </row>
    <row r="65" spans="1:11" x14ac:dyDescent="0.35">
      <c r="A65" s="5" t="str">
        <f t="shared" si="37"/>
        <v>STEM</v>
      </c>
      <c r="B65" s="5" t="str">
        <f t="shared" si="1"/>
        <v>SPS3</v>
      </c>
      <c r="C65" s="5" t="str">
        <f t="shared" si="38"/>
        <v>CH</v>
      </c>
      <c r="D65" t="s">
        <v>31</v>
      </c>
      <c r="E65" t="str">
        <f>E63</f>
        <v>PJ/yr.</v>
      </c>
      <c r="F65" s="1">
        <f>'[1]Electricity and CHPs'!B15</f>
        <v>66.745680641565826</v>
      </c>
      <c r="G65" s="1">
        <f>'[1]Electricity and CHPs'!C15</f>
        <v>49.798798233586048</v>
      </c>
      <c r="H65" s="1">
        <f>'[1]Electricity and CHPs'!D15</f>
        <v>68.746652836090433</v>
      </c>
      <c r="I65" s="1">
        <f>'[1]Electricity and CHPs'!E15</f>
        <v>69.707980460873983</v>
      </c>
      <c r="J65" s="1">
        <f>'[1]Electricity and CHPs'!F15</f>
        <v>72.137441602012373</v>
      </c>
      <c r="K65" s="1">
        <f>'[1]Electricity and CHPs'!G15</f>
        <v>68.851436972761888</v>
      </c>
    </row>
    <row r="66" spans="1:11" x14ac:dyDescent="0.35">
      <c r="A66" s="5" t="str">
        <f t="shared" si="37"/>
        <v>STEM</v>
      </c>
      <c r="B66" s="5" t="str">
        <f t="shared" si="1"/>
        <v>SPS3</v>
      </c>
      <c r="C66" s="5" t="str">
        <f t="shared" si="38"/>
        <v>CH</v>
      </c>
      <c r="D66" t="s">
        <v>32</v>
      </c>
      <c r="E66" t="str">
        <f t="shared" ref="E66:E67" si="40">E65</f>
        <v>PJ/yr.</v>
      </c>
      <c r="F66" s="1">
        <f>'[1]Electricity and CHPs'!B16</f>
        <v>66.632408674137309</v>
      </c>
      <c r="G66" s="1">
        <f>'[1]Electricity and CHPs'!C16</f>
        <v>55.764006095374093</v>
      </c>
      <c r="H66" s="1">
        <f>'[1]Electricity and CHPs'!D16</f>
        <v>65.562601078116302</v>
      </c>
      <c r="I66" s="1">
        <f>'[1]Electricity and CHPs'!E16</f>
        <v>64.934024586346183</v>
      </c>
      <c r="J66" s="1">
        <f>'[1]Electricity and CHPs'!F16</f>
        <v>63.848999302683723</v>
      </c>
      <c r="K66" s="1">
        <f>'[1]Electricity and CHPs'!G16</f>
        <v>67.134993866464811</v>
      </c>
    </row>
    <row r="67" spans="1:11" x14ac:dyDescent="0.35">
      <c r="A67" s="5" t="str">
        <f t="shared" si="37"/>
        <v>STEM</v>
      </c>
      <c r="B67" s="5" t="str">
        <f t="shared" si="37"/>
        <v>SPS3</v>
      </c>
      <c r="C67" s="5" t="str">
        <f t="shared" si="38"/>
        <v>CH</v>
      </c>
      <c r="D67" t="s">
        <v>33</v>
      </c>
      <c r="E67" t="str">
        <f t="shared" si="40"/>
        <v>PJ/yr.</v>
      </c>
      <c r="F67" s="1">
        <f>'[1]Electricity and CHPs'!B17</f>
        <v>12.841927396405056</v>
      </c>
      <c r="G67" s="1">
        <f>'[1]Electricity and CHPs'!C17</f>
        <v>16.037031473142612</v>
      </c>
      <c r="H67" s="1">
        <f>'[1]Electricity and CHPs'!D17</f>
        <v>5.6213263481187754</v>
      </c>
      <c r="I67" s="1">
        <f>'[1]Electricity and CHPs'!E17</f>
        <v>44.725101291212937</v>
      </c>
      <c r="J67" s="1">
        <f>'[1]Electricity and CHPs'!F17</f>
        <v>12.877622623574632</v>
      </c>
      <c r="K67" s="1">
        <f>'[1]Electricity and CHPs'!G17</f>
        <v>13.233613754222093</v>
      </c>
    </row>
    <row r="68" spans="1:11" x14ac:dyDescent="0.35">
      <c r="A68" s="5" t="str">
        <f>A59</f>
        <v>STEM</v>
      </c>
      <c r="B68" s="5" t="str">
        <f t="shared" si="37"/>
        <v>SPS3</v>
      </c>
      <c r="C68" s="5" t="str">
        <f>C59</f>
        <v>CH</v>
      </c>
      <c r="D68" t="s">
        <v>794</v>
      </c>
      <c r="E68" t="str">
        <f>E59</f>
        <v>PJ/yr.</v>
      </c>
      <c r="F68" s="1">
        <f>SUM(F69:F71)</f>
        <v>0.11193608391127204</v>
      </c>
      <c r="G68" s="1">
        <f t="shared" ref="G68" si="41">SUM(G69:G71)</f>
        <v>0.1715390553309048</v>
      </c>
      <c r="H68" s="1">
        <f t="shared" ref="H68" si="42">SUM(H69:H71)</f>
        <v>0.17146802202727976</v>
      </c>
      <c r="I68" s="1">
        <f t="shared" ref="I68" si="43">SUM(I69:I71)</f>
        <v>0.14077437070275092</v>
      </c>
      <c r="J68" s="1">
        <f t="shared" ref="J68" si="44">SUM(J69:J71)</f>
        <v>9.1671534813304585E-4</v>
      </c>
      <c r="K68" s="1">
        <f t="shared" ref="K68" si="45">SUM(K69:K71)</f>
        <v>1.9534658406559948E-4</v>
      </c>
    </row>
    <row r="69" spans="1:11" x14ac:dyDescent="0.35">
      <c r="A69" s="5" t="str">
        <f>A68</f>
        <v>STEM</v>
      </c>
      <c r="B69" s="5" t="str">
        <f t="shared" si="37"/>
        <v>SPS3</v>
      </c>
      <c r="C69" s="5" t="str">
        <f>C68</f>
        <v>CH</v>
      </c>
      <c r="D69" t="s">
        <v>34</v>
      </c>
      <c r="E69" t="str">
        <f>E59</f>
        <v>PJ/yr.</v>
      </c>
      <c r="F69" s="1">
        <f>'[1]Electricity and CHPs'!B18</f>
        <v>3.9608215514177994E-2</v>
      </c>
      <c r="G69" s="1">
        <f>'[1]Electricity and CHPs'!C18</f>
        <v>1.1522867499099062E-4</v>
      </c>
      <c r="H69" s="1">
        <f>'[1]Electricity and CHPs'!D18</f>
        <v>0.16148125974284119</v>
      </c>
      <c r="I69" s="1">
        <f>'[1]Electricity and CHPs'!E18</f>
        <v>2.3439042715059366E-4</v>
      </c>
      <c r="J69" s="1">
        <f>'[1]Electricity and CHPs'!F18</f>
        <v>2.411512458259251E-4</v>
      </c>
      <c r="K69" s="1">
        <f>'[1]Electricity and CHPs'!G18</f>
        <v>6.0332779225078991E-5</v>
      </c>
    </row>
    <row r="70" spans="1:11" x14ac:dyDescent="0.35">
      <c r="A70" s="5" t="str">
        <f t="shared" ref="A70:A71" si="46">A69</f>
        <v>STEM</v>
      </c>
      <c r="B70" s="5" t="str">
        <f t="shared" si="37"/>
        <v>SPS3</v>
      </c>
      <c r="C70" s="5" t="str">
        <f t="shared" ref="C70:C71" si="47">C69</f>
        <v>CH</v>
      </c>
      <c r="D70" t="s">
        <v>228</v>
      </c>
      <c r="E70" t="str">
        <f>E124</f>
        <v>PJ/yr.</v>
      </c>
      <c r="F70" s="1">
        <f>'[1]Electricity and CHPs'!B28</f>
        <v>1.8077346073840815E-3</v>
      </c>
      <c r="G70" s="1">
        <f>'[1]Electricity and CHPs'!C28</f>
        <v>1.052227942691807E-4</v>
      </c>
      <c r="H70" s="1">
        <f>'[1]Electricity and CHPs'!D28</f>
        <v>5.3776362901896118E-3</v>
      </c>
      <c r="I70" s="1">
        <f>'[1]Electricity and CHPs'!E28</f>
        <v>1.1781653558389082E-4</v>
      </c>
      <c r="J70" s="1">
        <f>'[1]Electricity and CHPs'!F28</f>
        <v>1.0184689855820115E-4</v>
      </c>
      <c r="K70" s="1">
        <f>'[1]Electricity and CHPs'!G28</f>
        <v>1.0401975309878769E-5</v>
      </c>
    </row>
    <row r="71" spans="1:11" x14ac:dyDescent="0.35">
      <c r="A71" s="5" t="str">
        <f t="shared" si="46"/>
        <v>STEM</v>
      </c>
      <c r="B71" s="5" t="str">
        <f t="shared" si="37"/>
        <v>SPS3</v>
      </c>
      <c r="C71" s="5" t="str">
        <f t="shared" si="47"/>
        <v>CH</v>
      </c>
      <c r="D71" t="s">
        <v>40</v>
      </c>
      <c r="E71" t="str">
        <f>E79</f>
        <v>PJ/yr.</v>
      </c>
      <c r="F71" s="1">
        <f>'[1]Electricity and CHPs'!B41</f>
        <v>7.0520133789709963E-2</v>
      </c>
      <c r="G71" s="1">
        <f>'[1]Electricity and CHPs'!C41</f>
        <v>0.17131860386164463</v>
      </c>
      <c r="H71" s="1">
        <f>'[1]Electricity and CHPs'!D41</f>
        <v>4.6091259942489509E-3</v>
      </c>
      <c r="I71" s="1">
        <f>'[1]Electricity and CHPs'!E41</f>
        <v>0.14042216374001643</v>
      </c>
      <c r="J71" s="1">
        <f>'[1]Electricity and CHPs'!F41</f>
        <v>5.737172037489196E-4</v>
      </c>
      <c r="K71" s="1">
        <f>'[1]Electricity and CHPs'!G41</f>
        <v>1.2461182953064172E-4</v>
      </c>
    </row>
    <row r="72" spans="1:11" x14ac:dyDescent="0.35">
      <c r="A72" s="5" t="str">
        <f>A67</f>
        <v>STEM</v>
      </c>
      <c r="B72" s="5" t="str">
        <f t="shared" si="37"/>
        <v>SPS3</v>
      </c>
      <c r="C72" s="5" t="str">
        <f>C67</f>
        <v>CH</v>
      </c>
      <c r="D72" t="s">
        <v>795</v>
      </c>
      <c r="E72" t="str">
        <f>E67</f>
        <v>PJ/yr.</v>
      </c>
      <c r="F72" s="1">
        <f>SUM(F73:F75)</f>
        <v>0.11193608391127204</v>
      </c>
      <c r="G72" s="1">
        <f t="shared" ref="G72:K72" si="48">SUM(G73:G75)</f>
        <v>0.1715390553309048</v>
      </c>
      <c r="H72" s="1">
        <f t="shared" si="48"/>
        <v>0.17146802202727976</v>
      </c>
      <c r="I72" s="1">
        <f t="shared" si="48"/>
        <v>0.14077437070275092</v>
      </c>
      <c r="J72" s="1">
        <f t="shared" si="48"/>
        <v>9.1671534813304585E-4</v>
      </c>
      <c r="K72" s="1">
        <f t="shared" si="48"/>
        <v>1.9534658406559948E-4</v>
      </c>
    </row>
    <row r="73" spans="1:11" x14ac:dyDescent="0.35">
      <c r="A73" s="5" t="str">
        <f>A72</f>
        <v>STEM</v>
      </c>
      <c r="B73" s="5" t="str">
        <f t="shared" si="37"/>
        <v>SPS3</v>
      </c>
      <c r="C73" s="5" t="str">
        <f>C72</f>
        <v>CH</v>
      </c>
      <c r="D73" t="s">
        <v>514</v>
      </c>
      <c r="E73" t="str">
        <f>E67</f>
        <v>PJ/yr.</v>
      </c>
      <c r="F73" s="1">
        <f>F69</f>
        <v>3.9608215514177994E-2</v>
      </c>
      <c r="G73" s="1">
        <f t="shared" ref="G73:K73" si="49">G69</f>
        <v>1.1522867499099062E-4</v>
      </c>
      <c r="H73" s="1">
        <f t="shared" si="49"/>
        <v>0.16148125974284119</v>
      </c>
      <c r="I73" s="1">
        <f t="shared" si="49"/>
        <v>2.3439042715059366E-4</v>
      </c>
      <c r="J73" s="1">
        <f t="shared" si="49"/>
        <v>2.411512458259251E-4</v>
      </c>
      <c r="K73" s="1">
        <f t="shared" si="49"/>
        <v>6.0332779225078991E-5</v>
      </c>
    </row>
    <row r="74" spans="1:11" x14ac:dyDescent="0.35">
      <c r="A74" s="5" t="str">
        <f t="shared" si="37"/>
        <v>STEM</v>
      </c>
      <c r="B74" s="5" t="str">
        <f t="shared" si="37"/>
        <v>SPS3</v>
      </c>
      <c r="C74" s="5" t="str">
        <f t="shared" si="38"/>
        <v>CH</v>
      </c>
      <c r="D74" t="s">
        <v>515</v>
      </c>
      <c r="E74" t="str">
        <f>E132</f>
        <v>PJ/yr.</v>
      </c>
      <c r="F74" s="1">
        <f>'[1]Electricity and CHPs'!B28</f>
        <v>1.8077346073840815E-3</v>
      </c>
      <c r="G74" s="1">
        <f>'[1]Electricity and CHPs'!C28</f>
        <v>1.052227942691807E-4</v>
      </c>
      <c r="H74" s="1">
        <f>'[1]Electricity and CHPs'!D28</f>
        <v>5.3776362901896118E-3</v>
      </c>
      <c r="I74" s="1">
        <f>'[1]Electricity and CHPs'!E28</f>
        <v>1.1781653558389082E-4</v>
      </c>
      <c r="J74" s="1">
        <f>'[1]Electricity and CHPs'!F28</f>
        <v>1.0184689855820115E-4</v>
      </c>
      <c r="K74" s="1">
        <f>'[1]Electricity and CHPs'!G28</f>
        <v>1.0401975309878769E-5</v>
      </c>
    </row>
    <row r="75" spans="1:11" x14ac:dyDescent="0.35">
      <c r="A75" s="5" t="str">
        <f t="shared" si="37"/>
        <v>STEM</v>
      </c>
      <c r="B75" s="5" t="str">
        <f t="shared" si="37"/>
        <v>SPS3</v>
      </c>
      <c r="C75" s="5" t="str">
        <f t="shared" si="38"/>
        <v>CH</v>
      </c>
      <c r="D75" t="s">
        <v>516</v>
      </c>
      <c r="E75" t="str">
        <f>E87</f>
        <v>PJ/yr.</v>
      </c>
      <c r="F75" s="1">
        <f>'[1]Electricity and CHPs'!B41</f>
        <v>7.0520133789709963E-2</v>
      </c>
      <c r="G75" s="1">
        <f>'[1]Electricity and CHPs'!C41</f>
        <v>0.17131860386164463</v>
      </c>
      <c r="H75" s="1">
        <f>'[1]Electricity and CHPs'!D41</f>
        <v>4.6091259942489509E-3</v>
      </c>
      <c r="I75" s="1">
        <f>'[1]Electricity and CHPs'!E41</f>
        <v>0.14042216374001643</v>
      </c>
      <c r="J75" s="1">
        <f>'[1]Electricity and CHPs'!F41</f>
        <v>5.737172037489196E-4</v>
      </c>
      <c r="K75" s="1">
        <f>'[1]Electricity and CHPs'!G41</f>
        <v>1.2461182953064172E-4</v>
      </c>
    </row>
    <row r="76" spans="1:11" x14ac:dyDescent="0.35">
      <c r="A76" s="5" t="str">
        <f t="shared" ref="A76:C77" si="50">A74</f>
        <v>STEM</v>
      </c>
      <c r="B76" s="5" t="str">
        <f t="shared" si="37"/>
        <v>SPS3</v>
      </c>
      <c r="C76" s="5" t="str">
        <f t="shared" si="50"/>
        <v>CH</v>
      </c>
      <c r="D76" t="s">
        <v>796</v>
      </c>
      <c r="E76" t="str">
        <f>E73</f>
        <v>PJ/yr.</v>
      </c>
      <c r="F76" s="1">
        <f>SUM(F77:F79)</f>
        <v>0</v>
      </c>
      <c r="G76" s="1">
        <f t="shared" ref="G76:K76" si="51">SUM(G77:G79)</f>
        <v>0</v>
      </c>
      <c r="H76" s="1">
        <f t="shared" si="51"/>
        <v>0</v>
      </c>
      <c r="I76" s="1">
        <f t="shared" si="51"/>
        <v>0</v>
      </c>
      <c r="J76" s="1">
        <f t="shared" si="51"/>
        <v>0</v>
      </c>
      <c r="K76" s="1">
        <f t="shared" si="51"/>
        <v>0</v>
      </c>
    </row>
    <row r="77" spans="1:11" x14ac:dyDescent="0.35">
      <c r="A77" s="5" t="str">
        <f t="shared" si="50"/>
        <v>STEM</v>
      </c>
      <c r="B77" s="5" t="str">
        <f t="shared" si="37"/>
        <v>SPS3</v>
      </c>
      <c r="C77" s="5" t="str">
        <f t="shared" si="50"/>
        <v>CH</v>
      </c>
      <c r="D77" t="s">
        <v>538</v>
      </c>
      <c r="E77" t="str">
        <f>E74</f>
        <v>PJ/yr.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35">
      <c r="A78" s="5" t="str">
        <f t="shared" si="37"/>
        <v>STEM</v>
      </c>
      <c r="B78" s="5" t="str">
        <f t="shared" si="37"/>
        <v>SPS3</v>
      </c>
      <c r="C78" s="5" t="str">
        <f t="shared" si="38"/>
        <v>CH</v>
      </c>
      <c r="D78" t="s">
        <v>539</v>
      </c>
      <c r="E78" t="str">
        <f>E135</f>
        <v>PJ/yr.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35">
      <c r="A79" s="5" t="str">
        <f t="shared" si="37"/>
        <v>STEM</v>
      </c>
      <c r="B79" s="5" t="str">
        <f t="shared" si="37"/>
        <v>SPS3</v>
      </c>
      <c r="C79" s="5" t="str">
        <f t="shared" si="38"/>
        <v>CH</v>
      </c>
      <c r="D79" t="s">
        <v>540</v>
      </c>
      <c r="E79" t="str">
        <f>E90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35">
      <c r="A80" s="5" t="str">
        <f t="shared" si="37"/>
        <v>STEM</v>
      </c>
      <c r="B80" s="5" t="str">
        <f t="shared" si="37"/>
        <v>SPS3</v>
      </c>
      <c r="C80" s="5" t="str">
        <f t="shared" si="38"/>
        <v>CH</v>
      </c>
      <c r="D80" t="s">
        <v>797</v>
      </c>
      <c r="E80" t="str">
        <f>E129</f>
        <v>PJ/yr.</v>
      </c>
      <c r="F80" s="1">
        <f>SUM(F81:F95)</f>
        <v>3.2356404067285318</v>
      </c>
      <c r="G80" s="1">
        <f t="shared" ref="G80:K80" si="52">SUM(G81:G95)</f>
        <v>2.253851814533721</v>
      </c>
      <c r="H80" s="1">
        <f t="shared" si="52"/>
        <v>1.2590232166158586</v>
      </c>
      <c r="I80" s="1">
        <f t="shared" si="52"/>
        <v>2.9173415617991885</v>
      </c>
      <c r="J80" s="1">
        <f t="shared" si="52"/>
        <v>5.4110145707199022</v>
      </c>
      <c r="K80" s="1">
        <f t="shared" si="52"/>
        <v>4.5357139887655</v>
      </c>
    </row>
    <row r="81" spans="1:11" x14ac:dyDescent="0.35">
      <c r="A81" s="5" t="str">
        <f t="shared" si="37"/>
        <v>STEM</v>
      </c>
      <c r="B81" s="5" t="str">
        <f t="shared" si="37"/>
        <v>SPS3</v>
      </c>
      <c r="C81" s="5" t="str">
        <f t="shared" si="38"/>
        <v>CH</v>
      </c>
      <c r="D81" t="s">
        <v>35</v>
      </c>
      <c r="E81" t="str">
        <f>E130</f>
        <v>PJ/yr.</v>
      </c>
      <c r="F81" s="1">
        <f>'[1]Electricity and CHPs'!B21</f>
        <v>0</v>
      </c>
      <c r="G81" s="1">
        <f>'[1]Electricity and CHPs'!C21</f>
        <v>0</v>
      </c>
      <c r="H81" s="1">
        <f>'[1]Electricity and CHPs'!D21</f>
        <v>0</v>
      </c>
      <c r="I81" s="1">
        <f>'[1]Electricity and CHPs'!E21</f>
        <v>0</v>
      </c>
      <c r="J81" s="1">
        <f>'[1]Electricity and CHPs'!F21</f>
        <v>9.3539846767742591E-4</v>
      </c>
      <c r="K81" s="1">
        <f>'[1]Electricity and CHPs'!G21</f>
        <v>6.9485621611263867E-3</v>
      </c>
    </row>
    <row r="82" spans="1:11" x14ac:dyDescent="0.35">
      <c r="A82" s="5" t="str">
        <f t="shared" si="37"/>
        <v>STEM</v>
      </c>
      <c r="B82" s="5" t="str">
        <f t="shared" si="37"/>
        <v>SPS3</v>
      </c>
      <c r="C82" s="5" t="str">
        <f t="shared" si="38"/>
        <v>CH</v>
      </c>
      <c r="D82" t="s">
        <v>36</v>
      </c>
      <c r="E82" t="str">
        <f>E81</f>
        <v>PJ/yr.</v>
      </c>
      <c r="F82" s="1">
        <f>'[1]Electricity and CHPs'!B22</f>
        <v>0</v>
      </c>
      <c r="G82" s="1">
        <f>'[1]Electricity and CHPs'!C22</f>
        <v>0</v>
      </c>
      <c r="H82" s="1">
        <f>'[1]Electricity and CHPs'!D22</f>
        <v>0</v>
      </c>
      <c r="I82" s="1">
        <f>'[1]Electricity and CHPs'!E22</f>
        <v>3.7380064939031141E-4</v>
      </c>
      <c r="J82" s="1">
        <f>'[1]Electricity and CHPs'!F22</f>
        <v>3.4059517657987265E-4</v>
      </c>
      <c r="K82" s="1">
        <f>'[1]Electricity and CHPs'!G22</f>
        <v>3.0087035106431527E-4</v>
      </c>
    </row>
    <row r="83" spans="1:11" x14ac:dyDescent="0.35">
      <c r="A83" s="5" t="str">
        <f t="shared" si="37"/>
        <v>STEM</v>
      </c>
      <c r="B83" s="5" t="str">
        <f t="shared" si="37"/>
        <v>SPS3</v>
      </c>
      <c r="C83" s="5" t="str">
        <f t="shared" si="38"/>
        <v>CH</v>
      </c>
      <c r="D83" t="s">
        <v>37</v>
      </c>
      <c r="E83" t="str">
        <f>E82</f>
        <v>PJ/yr.</v>
      </c>
      <c r="F83" s="1">
        <f>'[1]Electricity and CHPs'!B23</f>
        <v>0</v>
      </c>
      <c r="G83" s="1">
        <f>'[1]Electricity and CHPs'!C23</f>
        <v>0</v>
      </c>
      <c r="H83" s="1">
        <f>'[1]Electricity and CHPs'!D23</f>
        <v>0</v>
      </c>
      <c r="I83" s="1">
        <f>'[1]Electricity and CHPs'!E23</f>
        <v>0</v>
      </c>
      <c r="J83" s="1">
        <f>'[1]Electricity and CHPs'!F23</f>
        <v>4.0649404716169038E-4</v>
      </c>
      <c r="K83" s="1">
        <f>'[1]Electricity and CHPs'!G23</f>
        <v>0.68356777617177633</v>
      </c>
    </row>
    <row r="84" spans="1:11" x14ac:dyDescent="0.35">
      <c r="A84" s="5" t="str">
        <f t="shared" si="37"/>
        <v>STEM</v>
      </c>
      <c r="B84" s="5" t="str">
        <f t="shared" si="37"/>
        <v>SPS3</v>
      </c>
      <c r="C84" s="5" t="str">
        <f t="shared" si="38"/>
        <v>CH</v>
      </c>
      <c r="D84" t="s">
        <v>38</v>
      </c>
      <c r="E84" t="str">
        <f>E83</f>
        <v>PJ/yr.</v>
      </c>
      <c r="F84" s="1">
        <f>'[1]Electricity and CHPs'!B24</f>
        <v>0.96588767049683366</v>
      </c>
      <c r="G84" s="1">
        <f>'[1]Electricity and CHPs'!C24</f>
        <v>5.1458421555286929E-4</v>
      </c>
      <c r="H84" s="1">
        <f>'[1]Electricity and CHPs'!D24</f>
        <v>1.8944422084999194E-2</v>
      </c>
      <c r="I84" s="1">
        <f>'[1]Electricity and CHPs'!E24</f>
        <v>5.9940706458999063E-4</v>
      </c>
      <c r="J84" s="1">
        <f>'[1]Electricity and CHPs'!F24</f>
        <v>6.2235761800812745E-4</v>
      </c>
      <c r="K84" s="1">
        <f>'[1]Electricity and CHPs'!G24</f>
        <v>5.5872716781647582E-5</v>
      </c>
    </row>
    <row r="85" spans="1:11" x14ac:dyDescent="0.35">
      <c r="A85" s="5" t="str">
        <f t="shared" si="37"/>
        <v>STEM</v>
      </c>
      <c r="B85" s="5" t="str">
        <f t="shared" si="37"/>
        <v>SPS3</v>
      </c>
      <c r="C85" s="5" t="str">
        <f t="shared" si="38"/>
        <v>CH</v>
      </c>
      <c r="D85" t="s">
        <v>39</v>
      </c>
      <c r="E85" t="str">
        <f>E74</f>
        <v>PJ/yr.</v>
      </c>
      <c r="F85" s="1">
        <f>'[1]Electricity and CHPs'!B29</f>
        <v>0</v>
      </c>
      <c r="G85" s="1">
        <f>'[1]Electricity and CHPs'!C29</f>
        <v>0</v>
      </c>
      <c r="H85" s="1">
        <f>'[1]Electricity and CHPs'!D29</f>
        <v>0</v>
      </c>
      <c r="I85" s="1">
        <f>'[1]Electricity and CHPs'!E29</f>
        <v>0</v>
      </c>
      <c r="J85" s="1">
        <f>'[1]Electricity and CHPs'!F29</f>
        <v>0.29386556210499926</v>
      </c>
      <c r="K85" s="1">
        <f>'[1]Electricity and CHPs'!G29</f>
        <v>1.2502011015444261E-4</v>
      </c>
    </row>
    <row r="86" spans="1:11" x14ac:dyDescent="0.35">
      <c r="A86" s="5" t="str">
        <f t="shared" si="37"/>
        <v>STEM</v>
      </c>
      <c r="B86" s="5" t="str">
        <f t="shared" si="37"/>
        <v>SPS3</v>
      </c>
      <c r="C86" s="5" t="str">
        <f t="shared" si="38"/>
        <v>CH</v>
      </c>
      <c r="D86" t="s">
        <v>41</v>
      </c>
      <c r="E86" t="str">
        <f>E164</f>
        <v>PJ/yr.</v>
      </c>
      <c r="F86" s="1">
        <f>'[1]Electricity and CHPs'!B39</f>
        <v>0.6700127087044967</v>
      </c>
      <c r="G86" s="1">
        <f>'[1]Electricity and CHPs'!C39</f>
        <v>0.51810653251779359</v>
      </c>
      <c r="H86" s="1">
        <f>'[1]Electricity and CHPs'!D39</f>
        <v>5.241529872141272E-2</v>
      </c>
      <c r="I86" s="1">
        <f>'[1]Electricity and CHPs'!E39</f>
        <v>2.474696725184317E-2</v>
      </c>
      <c r="J86" s="1">
        <f>'[1]Electricity and CHPs'!F39</f>
        <v>5.4499546885389246E-3</v>
      </c>
      <c r="K86" s="1">
        <f>'[1]Electricity and CHPs'!G39</f>
        <v>7.928332657922587E-4</v>
      </c>
    </row>
    <row r="87" spans="1:11" x14ac:dyDescent="0.35">
      <c r="A87" s="5" t="str">
        <f t="shared" si="37"/>
        <v>STEM</v>
      </c>
      <c r="B87" s="5" t="str">
        <f t="shared" si="37"/>
        <v>SPS3</v>
      </c>
      <c r="C87" s="5" t="str">
        <f t="shared" si="38"/>
        <v>CH</v>
      </c>
      <c r="D87" t="s">
        <v>42</v>
      </c>
      <c r="E87" t="str">
        <f>E86</f>
        <v>PJ/yr.</v>
      </c>
      <c r="F87" s="1">
        <f>'[1]Electricity and CHPs'!B40</f>
        <v>0</v>
      </c>
      <c r="G87" s="1">
        <f>'[1]Electricity and CHPs'!C40</f>
        <v>0</v>
      </c>
      <c r="H87" s="1">
        <f>'[1]Electricity and CHPs'!D40</f>
        <v>0</v>
      </c>
      <c r="I87" s="1">
        <f>'[1]Electricity and CHPs'!E40</f>
        <v>0</v>
      </c>
      <c r="J87" s="1">
        <f>'[1]Electricity and CHPs'!F40</f>
        <v>3.0889310978946178E-4</v>
      </c>
      <c r="K87" s="1">
        <f>'[1]Electricity and CHPs'!G40</f>
        <v>5.1962936937585593E-4</v>
      </c>
    </row>
    <row r="88" spans="1:11" x14ac:dyDescent="0.35">
      <c r="A88" s="5" t="str">
        <f t="shared" si="37"/>
        <v>STEM</v>
      </c>
      <c r="B88" s="5" t="str">
        <f t="shared" si="37"/>
        <v>SPS3</v>
      </c>
      <c r="C88" s="5" t="str">
        <f t="shared" si="38"/>
        <v>CH</v>
      </c>
      <c r="D88" t="s">
        <v>43</v>
      </c>
      <c r="E88" t="str">
        <f>E169</f>
        <v>PJ/yr.</v>
      </c>
      <c r="F88" s="1">
        <f>'[1]Electricity and CHPs'!B47</f>
        <v>0</v>
      </c>
      <c r="G88" s="1">
        <f>'[1]Electricity and CHPs'!C47</f>
        <v>0</v>
      </c>
      <c r="H88" s="1">
        <f>'[1]Electricity and CHPs'!D47</f>
        <v>0</v>
      </c>
      <c r="I88" s="1">
        <f>'[1]Electricity and CHPs'!E47</f>
        <v>0</v>
      </c>
      <c r="J88" s="1">
        <f>'[1]Electricity and CHPs'!F47</f>
        <v>1.0210154553829719E-3</v>
      </c>
      <c r="K88" s="1">
        <f>'[1]Electricity and CHPs'!G47</f>
        <v>1.4569860049588801E-3</v>
      </c>
    </row>
    <row r="89" spans="1:11" x14ac:dyDescent="0.35">
      <c r="A89" s="5" t="str">
        <f t="shared" si="37"/>
        <v>STEM</v>
      </c>
      <c r="B89" s="5" t="str">
        <f t="shared" si="37"/>
        <v>SPS3</v>
      </c>
      <c r="C89" s="5" t="str">
        <f t="shared" si="38"/>
        <v>CH</v>
      </c>
      <c r="D89" t="s">
        <v>44</v>
      </c>
      <c r="E89" t="str">
        <f>E88</f>
        <v>PJ/yr.</v>
      </c>
      <c r="F89" s="1">
        <f>'[1]Electricity and CHPs'!B48</f>
        <v>1.715132581415562E-2</v>
      </c>
      <c r="G89" s="1">
        <f>'[1]Electricity and CHPs'!C48</f>
        <v>1.7239795461515446E-3</v>
      </c>
      <c r="H89" s="1">
        <f>'[1]Electricity and CHPs'!D48</f>
        <v>6.4970664502769088E-3</v>
      </c>
      <c r="I89" s="1">
        <f>'[1]Electricity and CHPs'!E48</f>
        <v>8.4380071897826123E-3</v>
      </c>
      <c r="J89" s="1">
        <f>'[1]Electricity and CHPs'!F48</f>
        <v>5.0276536825227328E-3</v>
      </c>
      <c r="K89" s="1">
        <f>'[1]Electricity and CHPs'!G48</f>
        <v>1.1425686057431697E-4</v>
      </c>
    </row>
    <row r="90" spans="1:11" x14ac:dyDescent="0.35">
      <c r="A90" s="5" t="str">
        <f t="shared" si="37"/>
        <v>STEM</v>
      </c>
      <c r="B90" s="5" t="str">
        <f t="shared" si="37"/>
        <v>SPS3</v>
      </c>
      <c r="C90" s="5" t="str">
        <f t="shared" si="38"/>
        <v>CH</v>
      </c>
      <c r="D90" t="s">
        <v>45</v>
      </c>
      <c r="E90" t="str">
        <f>E89</f>
        <v>PJ/yr.</v>
      </c>
      <c r="F90" s="1">
        <f>'[1]Electricity and CHPs'!B49</f>
        <v>0</v>
      </c>
      <c r="G90" s="1">
        <f>'[1]Electricity and CHPs'!C49</f>
        <v>0</v>
      </c>
      <c r="H90" s="1">
        <f>'[1]Electricity and CHPs'!D49</f>
        <v>0</v>
      </c>
      <c r="I90" s="1">
        <f>'[1]Electricity and CHPs'!E49</f>
        <v>7.8924377293424072E-4</v>
      </c>
      <c r="J90" s="1">
        <f>'[1]Electricity and CHPs'!F49</f>
        <v>1.8663104313667354E-3</v>
      </c>
      <c r="K90" s="1">
        <f>'[1]Electricity and CHPs'!G49</f>
        <v>2.5532243921720242E-4</v>
      </c>
    </row>
    <row r="91" spans="1:11" x14ac:dyDescent="0.35">
      <c r="A91" s="5" t="str">
        <f t="shared" si="37"/>
        <v>STEM</v>
      </c>
      <c r="B91" s="5" t="str">
        <f t="shared" si="37"/>
        <v>SPS3</v>
      </c>
      <c r="C91" s="5" t="str">
        <f t="shared" si="38"/>
        <v>CH</v>
      </c>
      <c r="D91" t="s">
        <v>46</v>
      </c>
      <c r="E91" t="str">
        <f>E154</f>
        <v>PJ/yr.</v>
      </c>
      <c r="F91" s="1">
        <f>'[1]Electricity and CHPs'!B51</f>
        <v>2.8769941393638056E-2</v>
      </c>
      <c r="G91" s="1">
        <f>'[1]Electricity and CHPs'!C51</f>
        <v>1.6542837370202798E-3</v>
      </c>
      <c r="H91" s="1">
        <f>'[1]Electricity and CHPs'!D51</f>
        <v>1.3297579952732272E-2</v>
      </c>
      <c r="I91" s="1">
        <f>'[1]Electricity and CHPs'!E51</f>
        <v>1.7124247416835101</v>
      </c>
      <c r="J91" s="1">
        <f>'[1]Electricity and CHPs'!F51</f>
        <v>1.0902875947710335</v>
      </c>
      <c r="K91" s="1">
        <f>'[1]Electricity and CHPs'!G51</f>
        <v>1.2839787926075268E-4</v>
      </c>
    </row>
    <row r="92" spans="1:11" x14ac:dyDescent="0.35">
      <c r="A92" s="5" t="str">
        <f t="shared" si="37"/>
        <v>STEM</v>
      </c>
      <c r="B92" s="5" t="str">
        <f t="shared" si="37"/>
        <v>SPS3</v>
      </c>
      <c r="C92" s="5" t="str">
        <f t="shared" si="38"/>
        <v>CH</v>
      </c>
      <c r="D92" t="s">
        <v>47</v>
      </c>
      <c r="E92" t="str">
        <f>E91</f>
        <v>PJ/yr.</v>
      </c>
      <c r="F92" s="1">
        <f>'[1]Electricity and CHPs'!B52</f>
        <v>0</v>
      </c>
      <c r="G92" s="1">
        <f>'[1]Electricity and CHPs'!C52</f>
        <v>0</v>
      </c>
      <c r="H92" s="1">
        <f>'[1]Electricity and CHPs'!D52</f>
        <v>0</v>
      </c>
      <c r="I92" s="1">
        <f>'[1]Electricity and CHPs'!E52</f>
        <v>4.2945607970719651E-3</v>
      </c>
      <c r="J92" s="1">
        <f>'[1]Electricity and CHPs'!F52</f>
        <v>1.1111445258254049</v>
      </c>
      <c r="K92" s="1">
        <f>'[1]Electricity and CHPs'!G52</f>
        <v>3.0251124112910935E-4</v>
      </c>
    </row>
    <row r="93" spans="1:11" x14ac:dyDescent="0.35">
      <c r="A93" s="5" t="str">
        <f t="shared" si="37"/>
        <v>STEM</v>
      </c>
      <c r="B93" s="5" t="str">
        <f t="shared" si="37"/>
        <v>SPS3</v>
      </c>
      <c r="C93" s="5" t="str">
        <f t="shared" si="38"/>
        <v>CH</v>
      </c>
      <c r="D93" t="s">
        <v>84</v>
      </c>
      <c r="E93" t="str">
        <f>E155</f>
        <v>PJ/yr.</v>
      </c>
      <c r="F93" s="1">
        <f>'[1]Electricity and CHPs'!B54</f>
        <v>0.95939035024882946</v>
      </c>
      <c r="G93" s="1">
        <f>'[1]Electricity and CHPs'!C54</f>
        <v>1.1059592127764419</v>
      </c>
      <c r="H93" s="1">
        <f>'[1]Electricity and CHPs'!D54</f>
        <v>1.1588636783186652</v>
      </c>
      <c r="I93" s="1">
        <f>'[1]Electricity and CHPs'!E54</f>
        <v>1.1588695642950515</v>
      </c>
      <c r="J93" s="1">
        <f>'[1]Electricity and CHPs'!F54</f>
        <v>2.896658452359731</v>
      </c>
      <c r="K93" s="1">
        <f>'[1]Electricity and CHPs'!G54</f>
        <v>3.8404860371326976</v>
      </c>
    </row>
    <row r="94" spans="1:11" x14ac:dyDescent="0.35">
      <c r="A94" s="5" t="str">
        <f t="shared" si="37"/>
        <v>STEM</v>
      </c>
      <c r="B94" s="5" t="str">
        <f t="shared" si="37"/>
        <v>SPS3</v>
      </c>
      <c r="C94" s="5" t="str">
        <f t="shared" si="38"/>
        <v>CH</v>
      </c>
      <c r="D94" t="s">
        <v>85</v>
      </c>
      <c r="E94" t="str">
        <f>E93</f>
        <v>PJ/yr.</v>
      </c>
      <c r="F94" s="1">
        <f>'[1]Electricity and CHPs'!B55</f>
        <v>0.59442841007057878</v>
      </c>
      <c r="G94" s="1">
        <f>'[1]Electricity and CHPs'!C55</f>
        <v>0.62589322174076079</v>
      </c>
      <c r="H94" s="1">
        <f>'[1]Electricity and CHPs'!D55</f>
        <v>9.0051710877723304E-3</v>
      </c>
      <c r="I94" s="1">
        <f>'[1]Electricity and CHPs'!E55</f>
        <v>6.0347132375950553E-3</v>
      </c>
      <c r="J94" s="1">
        <f>'[1]Electricity and CHPs'!F55</f>
        <v>2.7693205839182119E-4</v>
      </c>
      <c r="K94" s="1">
        <f>'[1]Electricity and CHPs'!G55</f>
        <v>2.4401073656338268E-4</v>
      </c>
    </row>
    <row r="95" spans="1:11" x14ac:dyDescent="0.35">
      <c r="A95" s="5" t="str">
        <f t="shared" si="37"/>
        <v>STEM</v>
      </c>
      <c r="B95" s="5" t="str">
        <f t="shared" si="37"/>
        <v>SPS3</v>
      </c>
      <c r="C95" s="5" t="str">
        <f t="shared" si="38"/>
        <v>CH</v>
      </c>
      <c r="D95" t="s">
        <v>88</v>
      </c>
      <c r="E95" t="str">
        <f>E170</f>
        <v>PJ/yr.</v>
      </c>
      <c r="F95" s="1">
        <f>'[1]Electricity and CHPs'!B58</f>
        <v>0</v>
      </c>
      <c r="G95" s="1">
        <f>'[1]Electricity and CHPs'!C58</f>
        <v>0</v>
      </c>
      <c r="H95" s="1">
        <f>'[1]Electricity and CHPs'!D58</f>
        <v>0</v>
      </c>
      <c r="I95" s="1">
        <f>'[1]Electricity and CHPs'!E58</f>
        <v>7.7055585741986463E-4</v>
      </c>
      <c r="J95" s="1">
        <f>'[1]Electricity and CHPs'!F58</f>
        <v>2.8028309233131161E-3</v>
      </c>
      <c r="K95" s="1">
        <f>'[1]Electricity and CHPs'!G58</f>
        <v>4.1590232502750481E-4</v>
      </c>
    </row>
    <row r="96" spans="1:11" x14ac:dyDescent="0.35">
      <c r="A96" s="5" t="str">
        <f t="shared" ref="A96:A111" si="53">A95</f>
        <v>STEM</v>
      </c>
      <c r="B96" s="5" t="str">
        <f t="shared" si="37"/>
        <v>SPS3</v>
      </c>
      <c r="C96" s="5" t="str">
        <f t="shared" ref="C96:C111" si="54">C95</f>
        <v>CH</v>
      </c>
      <c r="D96" t="s">
        <v>798</v>
      </c>
      <c r="E96" t="str">
        <f t="shared" ref="E96:E106" si="55">E171</f>
        <v>PJ/yr.</v>
      </c>
      <c r="F96" s="1">
        <f>F80-F112</f>
        <v>2.2172499219344797</v>
      </c>
      <c r="G96" s="1">
        <f t="shared" ref="G96:K96" si="56">G80-G112</f>
        <v>1.1251284124627237</v>
      </c>
      <c r="H96" s="1">
        <f t="shared" si="56"/>
        <v>9.9653813557279314E-2</v>
      </c>
      <c r="I96" s="1">
        <f t="shared" si="56"/>
        <v>1.5767574007098966</v>
      </c>
      <c r="J96" s="1">
        <f t="shared" si="56"/>
        <v>1.6890718617235274</v>
      </c>
      <c r="K96" s="1">
        <f t="shared" si="56"/>
        <v>9.4844705391672335E-5</v>
      </c>
    </row>
    <row r="97" spans="1:11" x14ac:dyDescent="0.35">
      <c r="A97" s="5" t="str">
        <f t="shared" si="53"/>
        <v>STEM</v>
      </c>
      <c r="B97" s="5" t="str">
        <f t="shared" si="37"/>
        <v>SPS3</v>
      </c>
      <c r="C97" s="5" t="str">
        <f t="shared" si="54"/>
        <v>CH</v>
      </c>
      <c r="D97" t="s">
        <v>552</v>
      </c>
      <c r="E97" t="str">
        <f t="shared" si="55"/>
        <v>PJ/yr.</v>
      </c>
      <c r="F97" s="1">
        <f t="shared" ref="F97:K97" si="57">F81-F113</f>
        <v>0</v>
      </c>
      <c r="G97" s="1">
        <f t="shared" si="57"/>
        <v>0</v>
      </c>
      <c r="H97" s="1">
        <f t="shared" si="57"/>
        <v>0</v>
      </c>
      <c r="I97" s="1">
        <f t="shared" si="57"/>
        <v>0</v>
      </c>
      <c r="J97" s="1">
        <f t="shared" si="57"/>
        <v>6.283736896759355E-4</v>
      </c>
      <c r="K97" s="1">
        <f t="shared" si="57"/>
        <v>9.4793992318903397E-7</v>
      </c>
    </row>
    <row r="98" spans="1:11" x14ac:dyDescent="0.35">
      <c r="A98" s="5" t="str">
        <f t="shared" si="53"/>
        <v>STEM</v>
      </c>
      <c r="B98" s="5" t="str">
        <f t="shared" si="37"/>
        <v>SPS3</v>
      </c>
      <c r="C98" s="5" t="str">
        <f t="shared" si="54"/>
        <v>CH</v>
      </c>
      <c r="D98" t="s">
        <v>553</v>
      </c>
      <c r="E98" t="str">
        <f t="shared" si="55"/>
        <v>PJ/yr.</v>
      </c>
      <c r="F98" s="1">
        <f t="shared" ref="F98:K98" si="58">F82-F114</f>
        <v>0</v>
      </c>
      <c r="G98" s="1">
        <f t="shared" si="58"/>
        <v>0</v>
      </c>
      <c r="H98" s="1">
        <f t="shared" si="58"/>
        <v>0</v>
      </c>
      <c r="I98" s="1">
        <f t="shared" si="58"/>
        <v>3.3517334433126345E-4</v>
      </c>
      <c r="J98" s="1">
        <f t="shared" si="58"/>
        <v>2.2880200811610372E-4</v>
      </c>
      <c r="K98" s="1">
        <f t="shared" si="58"/>
        <v>4.104547255448206E-8</v>
      </c>
    </row>
    <row r="99" spans="1:11" x14ac:dyDescent="0.35">
      <c r="A99" s="5" t="str">
        <f t="shared" si="53"/>
        <v>STEM</v>
      </c>
      <c r="B99" s="5" t="str">
        <f t="shared" si="37"/>
        <v>SPS3</v>
      </c>
      <c r="C99" s="5" t="str">
        <f t="shared" si="54"/>
        <v>CH</v>
      </c>
      <c r="D99" t="s">
        <v>554</v>
      </c>
      <c r="E99" t="str">
        <f t="shared" si="55"/>
        <v>PJ/yr.</v>
      </c>
      <c r="F99" s="1">
        <f t="shared" ref="F99:K99" si="59">F83-F115</f>
        <v>0</v>
      </c>
      <c r="G99" s="1">
        <f t="shared" si="59"/>
        <v>0</v>
      </c>
      <c r="H99" s="1">
        <f t="shared" si="59"/>
        <v>0</v>
      </c>
      <c r="I99" s="1">
        <f t="shared" si="59"/>
        <v>0</v>
      </c>
      <c r="J99" s="1">
        <f t="shared" si="59"/>
        <v>2.7307096715747535E-4</v>
      </c>
      <c r="K99" s="1">
        <f t="shared" si="59"/>
        <v>9.3253995605557805E-5</v>
      </c>
    </row>
    <row r="100" spans="1:11" x14ac:dyDescent="0.35">
      <c r="A100" s="5" t="str">
        <f t="shared" si="53"/>
        <v>STEM</v>
      </c>
      <c r="B100" s="5" t="str">
        <f t="shared" si="37"/>
        <v>SPS3</v>
      </c>
      <c r="C100" s="5" t="str">
        <f t="shared" si="54"/>
        <v>CH</v>
      </c>
      <c r="D100" t="s">
        <v>555</v>
      </c>
      <c r="E100" t="str">
        <f t="shared" si="55"/>
        <v>PJ/yr.</v>
      </c>
      <c r="F100" s="1">
        <f t="shared" ref="F100:K100" si="60">F84-F116</f>
        <v>0.94085197533994114</v>
      </c>
      <c r="G100" s="1">
        <f t="shared" si="60"/>
        <v>5.0437934754265384E-4</v>
      </c>
      <c r="H100" s="1">
        <f t="shared" si="60"/>
        <v>1.8848768060483519E-2</v>
      </c>
      <c r="I100" s="1">
        <f t="shared" si="60"/>
        <v>5.3746634946220647E-4</v>
      </c>
      <c r="J100" s="1">
        <f t="shared" si="60"/>
        <v>4.1808188300406315E-4</v>
      </c>
      <c r="K100" s="1">
        <f t="shared" si="60"/>
        <v>7.6222933070418377E-9</v>
      </c>
    </row>
    <row r="101" spans="1:11" x14ac:dyDescent="0.35">
      <c r="A101" s="5" t="str">
        <f t="shared" si="53"/>
        <v>STEM</v>
      </c>
      <c r="B101" s="5" t="str">
        <f t="shared" si="37"/>
        <v>SPS3</v>
      </c>
      <c r="C101" s="5" t="str">
        <f t="shared" si="54"/>
        <v>CH</v>
      </c>
      <c r="D101" t="s">
        <v>556</v>
      </c>
      <c r="E101" t="str">
        <f t="shared" si="55"/>
        <v>PJ/yr.</v>
      </c>
      <c r="F101" s="1">
        <f t="shared" ref="F101:K101" si="61">F85-F117</f>
        <v>0</v>
      </c>
      <c r="G101" s="1">
        <f t="shared" si="61"/>
        <v>0</v>
      </c>
      <c r="H101" s="1">
        <f t="shared" si="61"/>
        <v>0</v>
      </c>
      <c r="I101" s="1">
        <f t="shared" si="61"/>
        <v>0</v>
      </c>
      <c r="J101" s="1">
        <f t="shared" si="61"/>
        <v>0.19741040199382778</v>
      </c>
      <c r="K101" s="1">
        <f t="shared" si="61"/>
        <v>1.7055550611579096E-8</v>
      </c>
    </row>
    <row r="102" spans="1:11" x14ac:dyDescent="0.35">
      <c r="A102" s="5" t="str">
        <f t="shared" si="53"/>
        <v>STEM</v>
      </c>
      <c r="B102" s="5" t="str">
        <f t="shared" si="37"/>
        <v>SPS3</v>
      </c>
      <c r="C102" s="5" t="str">
        <f t="shared" si="54"/>
        <v>CH</v>
      </c>
      <c r="D102" t="s">
        <v>557</v>
      </c>
      <c r="E102" t="str">
        <f t="shared" si="55"/>
        <v>PJ/yr.</v>
      </c>
      <c r="F102" s="1">
        <f t="shared" ref="F102:K102" si="62">F86-F118</f>
        <v>0.65264605786222929</v>
      </c>
      <c r="G102" s="1">
        <f t="shared" si="62"/>
        <v>0.50783181242383602</v>
      </c>
      <c r="H102" s="1">
        <f t="shared" si="62"/>
        <v>5.215064381421107E-2</v>
      </c>
      <c r="I102" s="1">
        <f t="shared" si="62"/>
        <v>2.2189698678654887E-2</v>
      </c>
      <c r="J102" s="1">
        <f t="shared" si="62"/>
        <v>3.6611222431303485E-3</v>
      </c>
      <c r="K102" s="1">
        <f t="shared" si="62"/>
        <v>1.0816026217350637E-7</v>
      </c>
    </row>
    <row r="103" spans="1:11" x14ac:dyDescent="0.35">
      <c r="A103" s="5" t="str">
        <f t="shared" si="53"/>
        <v>STEM</v>
      </c>
      <c r="B103" s="5" t="str">
        <f t="shared" si="37"/>
        <v>SPS3</v>
      </c>
      <c r="C103" s="5" t="str">
        <f t="shared" si="54"/>
        <v>CH</v>
      </c>
      <c r="D103" t="s">
        <v>558</v>
      </c>
      <c r="E103" t="str">
        <f t="shared" si="55"/>
        <v>PJ/yr.</v>
      </c>
      <c r="F103" s="1">
        <f t="shared" ref="F103:K103" si="63">F87-F119</f>
        <v>0</v>
      </c>
      <c r="G103" s="1">
        <f t="shared" si="63"/>
        <v>0</v>
      </c>
      <c r="H103" s="1">
        <f t="shared" si="63"/>
        <v>0</v>
      </c>
      <c r="I103" s="1">
        <f t="shared" si="63"/>
        <v>0</v>
      </c>
      <c r="J103" s="1">
        <f t="shared" si="63"/>
        <v>2.0750547474791657E-4</v>
      </c>
      <c r="K103" s="1">
        <f t="shared" si="63"/>
        <v>7.0889115340831699E-8</v>
      </c>
    </row>
    <row r="104" spans="1:11" x14ac:dyDescent="0.35">
      <c r="A104" s="5" t="str">
        <f t="shared" si="53"/>
        <v>STEM</v>
      </c>
      <c r="B104" s="5" t="str">
        <f t="shared" si="37"/>
        <v>SPS3</v>
      </c>
      <c r="C104" s="5" t="str">
        <f t="shared" si="54"/>
        <v>CH</v>
      </c>
      <c r="D104" t="s">
        <v>559</v>
      </c>
      <c r="E104" t="str">
        <f t="shared" si="55"/>
        <v>PJ/yr.</v>
      </c>
      <c r="F104" s="1">
        <f t="shared" ref="F104:K104" si="64">F88-F120</f>
        <v>0</v>
      </c>
      <c r="G104" s="1">
        <f t="shared" si="64"/>
        <v>0</v>
      </c>
      <c r="H104" s="1">
        <f t="shared" si="64"/>
        <v>0</v>
      </c>
      <c r="I104" s="1">
        <f t="shared" si="64"/>
        <v>0</v>
      </c>
      <c r="J104" s="1">
        <f t="shared" si="64"/>
        <v>6.8588871062423367E-4</v>
      </c>
      <c r="K104" s="1">
        <f t="shared" si="64"/>
        <v>1.9876561072659088E-7</v>
      </c>
    </row>
    <row r="105" spans="1:11" x14ac:dyDescent="0.35">
      <c r="A105" s="5" t="str">
        <f t="shared" si="53"/>
        <v>STEM</v>
      </c>
      <c r="B105" s="5" t="str">
        <f t="shared" si="37"/>
        <v>SPS3</v>
      </c>
      <c r="C105" s="5" t="str">
        <f t="shared" si="54"/>
        <v>CH</v>
      </c>
      <c r="D105" t="s">
        <v>560</v>
      </c>
      <c r="E105" t="str">
        <f t="shared" si="55"/>
        <v>PJ/yr.</v>
      </c>
      <c r="F105" s="1">
        <f t="shared" ref="F105:K105" si="65">F89-F121</f>
        <v>1.6706765460259738E-2</v>
      </c>
      <c r="G105" s="1">
        <f t="shared" si="65"/>
        <v>1.6897908104906855E-3</v>
      </c>
      <c r="H105" s="1">
        <f t="shared" si="65"/>
        <v>6.464261514305447E-3</v>
      </c>
      <c r="I105" s="1">
        <f t="shared" si="65"/>
        <v>7.5660518351255406E-3</v>
      </c>
      <c r="J105" s="1">
        <f t="shared" si="65"/>
        <v>3.3774326172929829E-3</v>
      </c>
      <c r="K105" s="1">
        <f t="shared" si="65"/>
        <v>1.5587201657705791E-8</v>
      </c>
    </row>
    <row r="106" spans="1:11" x14ac:dyDescent="0.35">
      <c r="A106" s="5" t="str">
        <f t="shared" si="53"/>
        <v>STEM</v>
      </c>
      <c r="B106" s="5" t="str">
        <f t="shared" si="37"/>
        <v>SPS3</v>
      </c>
      <c r="C106" s="5" t="str">
        <f t="shared" si="54"/>
        <v>CH</v>
      </c>
      <c r="D106" t="s">
        <v>561</v>
      </c>
      <c r="E106" t="str">
        <f t="shared" si="55"/>
        <v>PJ/yr.</v>
      </c>
      <c r="F106" s="1">
        <f t="shared" ref="F106:K106" si="66">F90-F122</f>
        <v>0</v>
      </c>
      <c r="G106" s="1">
        <f t="shared" si="66"/>
        <v>0</v>
      </c>
      <c r="H106" s="1">
        <f t="shared" si="66"/>
        <v>0</v>
      </c>
      <c r="I106" s="1">
        <f t="shared" si="66"/>
        <v>7.0768596924179197E-4</v>
      </c>
      <c r="J106" s="1">
        <f t="shared" si="66"/>
        <v>1.2537334754786282E-3</v>
      </c>
      <c r="K106" s="1">
        <f t="shared" si="66"/>
        <v>3.4831714505474242E-8</v>
      </c>
    </row>
    <row r="107" spans="1:11" x14ac:dyDescent="0.35">
      <c r="A107" s="5" t="str">
        <f t="shared" si="53"/>
        <v>STEM</v>
      </c>
      <c r="B107" s="5" t="str">
        <f t="shared" si="37"/>
        <v>SPS3</v>
      </c>
      <c r="C107" s="5" t="str">
        <f t="shared" si="54"/>
        <v>CH</v>
      </c>
      <c r="D107" t="s">
        <v>562</v>
      </c>
      <c r="E107" t="str">
        <f>E183</f>
        <v>PJ/yr.</v>
      </c>
      <c r="F107" s="1">
        <f t="shared" ref="F107:K107" si="67">F91-F123</f>
        <v>2.8024227886349687E-2</v>
      </c>
      <c r="G107" s="1">
        <f t="shared" si="67"/>
        <v>1.6214771590540276E-3</v>
      </c>
      <c r="H107" s="1">
        <f t="shared" si="67"/>
        <v>1.3230437918359792E-2</v>
      </c>
      <c r="I107" s="1">
        <f t="shared" si="67"/>
        <v>1.5354685138236641</v>
      </c>
      <c r="J107" s="1">
        <f t="shared" si="67"/>
        <v>0.73242373427795315</v>
      </c>
      <c r="K107" s="1">
        <f t="shared" si="67"/>
        <v>1.7516354172523747E-8</v>
      </c>
    </row>
    <row r="108" spans="1:11" x14ac:dyDescent="0.35">
      <c r="A108" s="5" t="str">
        <f t="shared" si="53"/>
        <v>STEM</v>
      </c>
      <c r="B108" s="5" t="str">
        <f t="shared" si="37"/>
        <v>SPS3</v>
      </c>
      <c r="C108" s="5" t="str">
        <f t="shared" si="54"/>
        <v>CH</v>
      </c>
      <c r="D108" t="s">
        <v>563</v>
      </c>
      <c r="E108" t="str">
        <f>E185</f>
        <v>PJ/yr.</v>
      </c>
      <c r="F108" s="1">
        <f t="shared" ref="F108:K108" si="68">F92-F124</f>
        <v>0</v>
      </c>
      <c r="G108" s="1">
        <f t="shared" si="68"/>
        <v>0</v>
      </c>
      <c r="H108" s="1">
        <f t="shared" si="68"/>
        <v>0</v>
      </c>
      <c r="I108" s="1">
        <f t="shared" si="68"/>
        <v>3.8507752919539353E-3</v>
      </c>
      <c r="J108" s="1">
        <f t="shared" si="68"/>
        <v>0.74643481851085103</v>
      </c>
      <c r="K108" s="1">
        <f t="shared" si="68"/>
        <v>4.1269326808896813E-8</v>
      </c>
    </row>
    <row r="109" spans="1:11" x14ac:dyDescent="0.35">
      <c r="A109" s="5" t="str">
        <f t="shared" si="53"/>
        <v>STEM</v>
      </c>
      <c r="B109" s="5" t="str">
        <f t="shared" si="37"/>
        <v>SPS3</v>
      </c>
      <c r="C109" s="5" t="str">
        <f t="shared" si="54"/>
        <v>CH</v>
      </c>
      <c r="D109" t="s">
        <v>564</v>
      </c>
      <c r="E109" t="str">
        <f>E187</f>
        <v>PJ/yr.</v>
      </c>
      <c r="F109" s="1">
        <f t="shared" ref="F109:K109" si="69">F93-F125</f>
        <v>0</v>
      </c>
      <c r="G109" s="1">
        <f t="shared" si="69"/>
        <v>0</v>
      </c>
      <c r="H109" s="1">
        <f t="shared" si="69"/>
        <v>0</v>
      </c>
      <c r="I109" s="1">
        <f t="shared" si="69"/>
        <v>0</v>
      </c>
      <c r="J109" s="1">
        <f t="shared" si="69"/>
        <v>0</v>
      </c>
      <c r="K109" s="1">
        <f t="shared" si="69"/>
        <v>0</v>
      </c>
    </row>
    <row r="110" spans="1:11" x14ac:dyDescent="0.35">
      <c r="A110" s="5" t="str">
        <f t="shared" si="53"/>
        <v>STEM</v>
      </c>
      <c r="B110" s="5" t="str">
        <f t="shared" si="37"/>
        <v>SPS3</v>
      </c>
      <c r="C110" s="5" t="str">
        <f t="shared" si="54"/>
        <v>CH</v>
      </c>
      <c r="D110" t="s">
        <v>565</v>
      </c>
      <c r="E110" t="str">
        <f>E188</f>
        <v>PJ/yr.</v>
      </c>
      <c r="F110" s="1">
        <f t="shared" ref="F110:K110" si="70">F94-F126</f>
        <v>0.57902089538570001</v>
      </c>
      <c r="G110" s="1">
        <f t="shared" si="70"/>
        <v>0.61348095272180037</v>
      </c>
      <c r="H110" s="1">
        <f t="shared" si="70"/>
        <v>8.9597022499195416E-3</v>
      </c>
      <c r="I110" s="1">
        <f t="shared" si="70"/>
        <v>5.4111062172416523E-3</v>
      </c>
      <c r="J110" s="1">
        <f t="shared" si="70"/>
        <v>1.8603496299635845E-4</v>
      </c>
      <c r="K110" s="1">
        <f t="shared" si="70"/>
        <v>3.3288544235682803E-8</v>
      </c>
    </row>
    <row r="111" spans="1:11" x14ac:dyDescent="0.35">
      <c r="A111" s="5" t="str">
        <f t="shared" si="53"/>
        <v>STEM</v>
      </c>
      <c r="B111" s="5" t="str">
        <f t="shared" si="37"/>
        <v>SPS3</v>
      </c>
      <c r="C111" s="5" t="str">
        <f t="shared" si="54"/>
        <v>CH</v>
      </c>
      <c r="D111" t="s">
        <v>566</v>
      </c>
      <c r="E111" t="str">
        <f>E193</f>
        <v>PJ/yr.</v>
      </c>
      <c r="F111" s="1">
        <f t="shared" ref="F111:K111" si="71">F95-F127</f>
        <v>0</v>
      </c>
      <c r="G111" s="1">
        <f t="shared" si="71"/>
        <v>0</v>
      </c>
      <c r="H111" s="1">
        <f t="shared" si="71"/>
        <v>0</v>
      </c>
      <c r="I111" s="1">
        <f t="shared" si="71"/>
        <v>6.9092920022132624E-4</v>
      </c>
      <c r="J111" s="1">
        <f t="shared" si="71"/>
        <v>1.8828609086704578E-3</v>
      </c>
      <c r="K111" s="1">
        <f t="shared" si="71"/>
        <v>5.6738417085195995E-8</v>
      </c>
    </row>
    <row r="112" spans="1:11" x14ac:dyDescent="0.35">
      <c r="A112" s="5" t="str">
        <f>A95</f>
        <v>STEM</v>
      </c>
      <c r="B112" s="5" t="str">
        <f t="shared" si="37"/>
        <v>SPS3</v>
      </c>
      <c r="C112" s="5" t="str">
        <f>C95</f>
        <v>CH</v>
      </c>
      <c r="D112" t="s">
        <v>799</v>
      </c>
      <c r="E112" t="str">
        <f>E95</f>
        <v>PJ/yr.</v>
      </c>
      <c r="F112" s="1">
        <f>SUM(F113:F127)</f>
        <v>1.0183904847940524</v>
      </c>
      <c r="G112" s="1">
        <f t="shared" ref="G112:K112" si="72">SUM(G113:G127)</f>
        <v>1.1287234020709973</v>
      </c>
      <c r="H112" s="1">
        <f t="shared" si="72"/>
        <v>1.1593694030585793</v>
      </c>
      <c r="I112" s="1">
        <f t="shared" si="72"/>
        <v>1.3405841610892919</v>
      </c>
      <c r="J112" s="1">
        <f t="shared" si="72"/>
        <v>3.7219427089963748</v>
      </c>
      <c r="K112" s="1">
        <f t="shared" si="72"/>
        <v>4.5356191440601084</v>
      </c>
    </row>
    <row r="113" spans="1:11" x14ac:dyDescent="0.35">
      <c r="A113" s="5" t="str">
        <f t="shared" si="37"/>
        <v>STEM</v>
      </c>
      <c r="B113" s="5" t="str">
        <f t="shared" si="37"/>
        <v>SPS3</v>
      </c>
      <c r="C113" s="5" t="str">
        <f t="shared" si="38"/>
        <v>CH</v>
      </c>
      <c r="D113" t="s">
        <v>613</v>
      </c>
      <c r="E113" t="str">
        <f t="shared" ref="E113:E128" si="73">E112</f>
        <v>PJ/yr.</v>
      </c>
      <c r="F113" s="1">
        <f>'[1]Electricity and CHPs_IN'!L$23/SUM('[1]Electricity and CHPs_IN'!L$22:L$23)*F81</f>
        <v>0</v>
      </c>
      <c r="G113" s="1">
        <f>'[1]Electricity and CHPs_IN'!M$23/SUM('[1]Electricity and CHPs_IN'!M$22:M$23)*G81</f>
        <v>0</v>
      </c>
      <c r="H113" s="1">
        <f>'[1]Electricity and CHPs_IN'!N$23/SUM('[1]Electricity and CHPs_IN'!N$22:N$23)*H81</f>
        <v>0</v>
      </c>
      <c r="I113" s="1">
        <f>'[1]Electricity and CHPs_IN'!O$23/SUM('[1]Electricity and CHPs_IN'!O$22:O$23)*I81</f>
        <v>0</v>
      </c>
      <c r="J113" s="1">
        <f>'[1]Electricity and CHPs_IN'!P$23/SUM('[1]Electricity and CHPs_IN'!P$22:P$23)*J81</f>
        <v>3.0702477800149036E-4</v>
      </c>
      <c r="K113" s="1">
        <f>'[1]Electricity and CHPs_IN'!Q$23/SUM('[1]Electricity and CHPs_IN'!Q$22:Q$23)*K81</f>
        <v>6.9476142212031976E-3</v>
      </c>
    </row>
    <row r="114" spans="1:11" x14ac:dyDescent="0.35">
      <c r="A114" s="5" t="str">
        <f t="shared" si="37"/>
        <v>STEM</v>
      </c>
      <c r="B114" s="5" t="str">
        <f t="shared" si="37"/>
        <v>SPS3</v>
      </c>
      <c r="C114" s="5" t="str">
        <f t="shared" si="38"/>
        <v>CH</v>
      </c>
      <c r="D114" t="s">
        <v>614</v>
      </c>
      <c r="E114" t="str">
        <f t="shared" si="73"/>
        <v>PJ/yr.</v>
      </c>
      <c r="F114" s="1">
        <f>'[1]Electricity and CHPs_IN'!L$23/SUM('[1]Electricity and CHPs_IN'!L$22:L$23)*F82</f>
        <v>0</v>
      </c>
      <c r="G114" s="1">
        <f>'[1]Electricity and CHPs_IN'!M$23/SUM('[1]Electricity and CHPs_IN'!M$22:M$23)*G82</f>
        <v>0</v>
      </c>
      <c r="H114" s="1">
        <f>'[1]Electricity and CHPs_IN'!N$23/SUM('[1]Electricity and CHPs_IN'!N$22:N$23)*H82</f>
        <v>0</v>
      </c>
      <c r="I114" s="1">
        <f>'[1]Electricity and CHPs_IN'!O$23/SUM('[1]Electricity and CHPs_IN'!O$22:O$23)*I82</f>
        <v>3.862730505904795E-5</v>
      </c>
      <c r="J114" s="1">
        <f>'[1]Electricity and CHPs_IN'!P$23/SUM('[1]Electricity and CHPs_IN'!P$22:P$23)*J82</f>
        <v>1.1179316846376894E-4</v>
      </c>
      <c r="K114" s="1">
        <f>'[1]Electricity and CHPs_IN'!Q$23/SUM('[1]Electricity and CHPs_IN'!Q$22:Q$23)*K82</f>
        <v>3.0082930559176079E-4</v>
      </c>
    </row>
    <row r="115" spans="1:11" x14ac:dyDescent="0.35">
      <c r="A115" s="5" t="str">
        <f t="shared" si="37"/>
        <v>STEM</v>
      </c>
      <c r="B115" s="5" t="str">
        <f t="shared" si="37"/>
        <v>SPS3</v>
      </c>
      <c r="C115" s="5" t="str">
        <f t="shared" si="38"/>
        <v>CH</v>
      </c>
      <c r="D115" t="s">
        <v>615</v>
      </c>
      <c r="E115" t="str">
        <f t="shared" si="73"/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'[1]Electricity and CHPs_IN'!P$23/SUM('[1]Electricity and CHPs_IN'!P$22:P$23)*J83</f>
        <v>1.3342308000421503E-4</v>
      </c>
      <c r="K115" s="1">
        <f>'[1]Electricity and CHPs_IN'!Q$23/SUM('[1]Electricity and CHPs_IN'!Q$22:Q$23)*K83</f>
        <v>0.68347452217617077</v>
      </c>
    </row>
    <row r="116" spans="1:11" x14ac:dyDescent="0.35">
      <c r="A116" s="5" t="str">
        <f t="shared" si="37"/>
        <v>STEM</v>
      </c>
      <c r="B116" s="5" t="str">
        <f t="shared" si="37"/>
        <v>SPS3</v>
      </c>
      <c r="C116" s="5" t="str">
        <f t="shared" si="38"/>
        <v>CH</v>
      </c>
      <c r="D116" t="s">
        <v>616</v>
      </c>
      <c r="E116" t="str">
        <f t="shared" si="73"/>
        <v>PJ/yr.</v>
      </c>
      <c r="F116" s="1">
        <f>'[1]Electricity and CHPs_IN'!L$23/SUM('[1]Electricity and CHPs_IN'!L$22:L$23)*F84</f>
        <v>2.5035695156892496E-2</v>
      </c>
      <c r="G116" s="1">
        <f>'[1]Electricity and CHPs_IN'!M$23/SUM('[1]Electricity and CHPs_IN'!M$22:M$23)*G84</f>
        <v>1.0204868010215423E-5</v>
      </c>
      <c r="H116" s="1">
        <f>'[1]Electricity and CHPs_IN'!N$23/SUM('[1]Electricity and CHPs_IN'!N$22:N$23)*H84</f>
        <v>9.565402451567324E-5</v>
      </c>
      <c r="I116" s="1">
        <f>'[1]Electricity and CHPs_IN'!O$23/SUM('[1]Electricity and CHPs_IN'!O$22:O$23)*I84</f>
        <v>6.1940715127784213E-5</v>
      </c>
      <c r="J116" s="1">
        <f>'[1]Electricity and CHPs_IN'!P$23/SUM('[1]Electricity and CHPs_IN'!P$22:P$23)*J84</f>
        <v>2.042757350040643E-4</v>
      </c>
      <c r="K116" s="1">
        <f>'[1]Electricity and CHPs_IN'!Q$23/SUM('[1]Electricity and CHPs_IN'!Q$22:Q$23)*K84</f>
        <v>5.586509448834054E-5</v>
      </c>
    </row>
    <row r="117" spans="1:11" x14ac:dyDescent="0.35">
      <c r="A117" s="5" t="str">
        <f t="shared" si="37"/>
        <v>STEM</v>
      </c>
      <c r="B117" s="5" t="str">
        <f t="shared" si="37"/>
        <v>SPS3</v>
      </c>
      <c r="C117" s="5" t="str">
        <f t="shared" si="38"/>
        <v>CH</v>
      </c>
      <c r="D117" t="s">
        <v>617</v>
      </c>
      <c r="E117" t="str">
        <f t="shared" si="73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'[1]Electricity and CHPs_IN'!P$23/SUM('[1]Electricity and CHPs_IN'!P$22:P$23)*J85</f>
        <v>9.6455160111171473E-2</v>
      </c>
      <c r="K117" s="1">
        <f>'[1]Electricity and CHPs_IN'!Q$23/SUM('[1]Electricity and CHPs_IN'!Q$22:Q$23)*K85</f>
        <v>1.2500305460383103E-4</v>
      </c>
    </row>
    <row r="118" spans="1:11" x14ac:dyDescent="0.35">
      <c r="A118" s="5" t="str">
        <f t="shared" si="37"/>
        <v>STEM</v>
      </c>
      <c r="B118" s="5" t="str">
        <f t="shared" si="37"/>
        <v>SPS3</v>
      </c>
      <c r="C118" s="5" t="str">
        <f t="shared" si="38"/>
        <v>CH</v>
      </c>
      <c r="D118" t="s">
        <v>618</v>
      </c>
      <c r="E118" t="str">
        <f t="shared" si="73"/>
        <v>PJ/yr.</v>
      </c>
      <c r="F118" s="1">
        <f>'[1]Electricity and CHPs_IN'!L$23/SUM('[1]Electricity and CHPs_IN'!L$22:L$23)*F86</f>
        <v>1.7366650842267461E-2</v>
      </c>
      <c r="G118" s="1">
        <f>'[1]Electricity and CHPs_IN'!M$23/SUM('[1]Electricity and CHPs_IN'!M$22:M$23)*G86</f>
        <v>1.0274720093957588E-2</v>
      </c>
      <c r="H118" s="1">
        <f>'[1]Electricity and CHPs_IN'!N$23/SUM('[1]Electricity and CHPs_IN'!N$22:N$23)*H86</f>
        <v>2.6465490720164992E-4</v>
      </c>
      <c r="I118" s="1">
        <f>'[1]Electricity and CHPs_IN'!O$23/SUM('[1]Electricity and CHPs_IN'!O$22:O$23)*I86</f>
        <v>2.5572685731882839E-3</v>
      </c>
      <c r="J118" s="1">
        <f>'[1]Electricity and CHPs_IN'!P$23/SUM('[1]Electricity and CHPs_IN'!P$22:P$23)*J86</f>
        <v>1.7888324454085761E-3</v>
      </c>
      <c r="K118" s="1">
        <f>'[1]Electricity and CHPs_IN'!Q$23/SUM('[1]Electricity and CHPs_IN'!Q$22:Q$23)*K86</f>
        <v>7.927251055300852E-4</v>
      </c>
    </row>
    <row r="119" spans="1:11" x14ac:dyDescent="0.35">
      <c r="A119" s="5" t="str">
        <f t="shared" si="37"/>
        <v>STEM</v>
      </c>
      <c r="B119" s="5" t="str">
        <f t="shared" si="37"/>
        <v>SPS3</v>
      </c>
      <c r="C119" s="5" t="str">
        <f t="shared" si="38"/>
        <v>CH</v>
      </c>
      <c r="D119" t="s">
        <v>619</v>
      </c>
      <c r="E119" t="str">
        <f t="shared" si="73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'[1]Electricity and CHPs_IN'!P$23/SUM('[1]Electricity and CHPs_IN'!P$22:P$23)*J87</f>
        <v>1.0138763504154521E-4</v>
      </c>
      <c r="K119" s="1">
        <f>'[1]Electricity and CHPs_IN'!Q$23/SUM('[1]Electricity and CHPs_IN'!Q$22:Q$23)*K87</f>
        <v>5.195584802605151E-4</v>
      </c>
    </row>
    <row r="120" spans="1:11" x14ac:dyDescent="0.35">
      <c r="A120" s="5" t="str">
        <f t="shared" si="37"/>
        <v>STEM</v>
      </c>
      <c r="B120" s="5" t="str">
        <f t="shared" si="37"/>
        <v>SPS3</v>
      </c>
      <c r="C120" s="5" t="str">
        <f t="shared" si="38"/>
        <v>CH</v>
      </c>
      <c r="D120" t="s">
        <v>620</v>
      </c>
      <c r="E120" t="str">
        <f t="shared" si="73"/>
        <v>PJ/yr.</v>
      </c>
      <c r="F120" s="1">
        <f>'[1]Electricity and CHPs_IN'!L$23/SUM('[1]Electricity and CHPs_IN'!L$22:L$23)*F88</f>
        <v>0</v>
      </c>
      <c r="G120" s="1">
        <f>'[1]Electricity and CHPs_IN'!M$23/SUM('[1]Electricity and CHPs_IN'!M$22:M$23)*G88</f>
        <v>0</v>
      </c>
      <c r="H120" s="1">
        <f>'[1]Electricity and CHPs_IN'!N$23/SUM('[1]Electricity and CHPs_IN'!N$22:N$23)*H88</f>
        <v>0</v>
      </c>
      <c r="I120" s="1">
        <f>'[1]Electricity and CHPs_IN'!O$23/SUM('[1]Electricity and CHPs_IN'!O$22:O$23)*I88</f>
        <v>0</v>
      </c>
      <c r="J120" s="1">
        <f>'[1]Electricity and CHPs_IN'!P$23/SUM('[1]Electricity and CHPs_IN'!P$22:P$23)*J88</f>
        <v>3.3512674475873818E-4</v>
      </c>
      <c r="K120" s="1">
        <f>'[1]Electricity and CHPs_IN'!Q$23/SUM('[1]Electricity and CHPs_IN'!Q$22:Q$23)*K88</f>
        <v>1.4567872393481535E-3</v>
      </c>
    </row>
    <row r="121" spans="1:11" x14ac:dyDescent="0.35">
      <c r="A121" s="5" t="str">
        <f t="shared" si="37"/>
        <v>STEM</v>
      </c>
      <c r="B121" s="5" t="str">
        <f t="shared" si="37"/>
        <v>SPS3</v>
      </c>
      <c r="C121" s="5" t="str">
        <f t="shared" si="38"/>
        <v>CH</v>
      </c>
      <c r="D121" t="s">
        <v>621</v>
      </c>
      <c r="E121" t="str">
        <f t="shared" si="73"/>
        <v>PJ/yr.</v>
      </c>
      <c r="F121" s="1">
        <f>'[1]Electricity and CHPs_IN'!L$23/SUM('[1]Electricity and CHPs_IN'!L$22:L$23)*F89</f>
        <v>4.4456035389588166E-4</v>
      </c>
      <c r="G121" s="1">
        <f>'[1]Electricity and CHPs_IN'!M$23/SUM('[1]Electricity and CHPs_IN'!M$22:M$23)*G89</f>
        <v>3.4188735660859126E-5</v>
      </c>
      <c r="H121" s="1">
        <f>'[1]Electricity and CHPs_IN'!N$23/SUM('[1]Electricity and CHPs_IN'!N$22:N$23)*H89</f>
        <v>3.2804935971461807E-5</v>
      </c>
      <c r="I121" s="1">
        <f>'[1]Electricity and CHPs_IN'!O$23/SUM('[1]Electricity and CHPs_IN'!O$22:O$23)*I89</f>
        <v>8.7195535465707215E-4</v>
      </c>
      <c r="J121" s="1">
        <f>'[1]Electricity and CHPs_IN'!P$23/SUM('[1]Electricity and CHPs_IN'!P$22:P$23)*J89</f>
        <v>1.6502210652297499E-3</v>
      </c>
      <c r="K121" s="1">
        <f>'[1]Electricity and CHPs_IN'!Q$23/SUM('[1]Electricity and CHPs_IN'!Q$22:Q$23)*K89</f>
        <v>1.1424127337265926E-4</v>
      </c>
    </row>
    <row r="122" spans="1:11" x14ac:dyDescent="0.35">
      <c r="A122" s="5" t="str">
        <f t="shared" si="37"/>
        <v>STEM</v>
      </c>
      <c r="B122" s="5" t="str">
        <f t="shared" si="37"/>
        <v>SPS3</v>
      </c>
      <c r="C122" s="5" t="str">
        <f t="shared" si="38"/>
        <v>CH</v>
      </c>
      <c r="D122" t="s">
        <v>622</v>
      </c>
      <c r="E122" t="str">
        <f t="shared" si="73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8.1557803692448765E-5</v>
      </c>
      <c r="J122" s="1">
        <f>'[1]Electricity and CHPs_IN'!P$23/SUM('[1]Electricity and CHPs_IN'!P$22:P$23)*J90</f>
        <v>6.1257695588810726E-4</v>
      </c>
      <c r="K122" s="1">
        <f>'[1]Electricity and CHPs_IN'!Q$23/SUM('[1]Electricity and CHPs_IN'!Q$22:Q$23)*K90</f>
        <v>2.5528760750269695E-4</v>
      </c>
    </row>
    <row r="123" spans="1:11" x14ac:dyDescent="0.35">
      <c r="A123" s="5" t="str">
        <f t="shared" si="37"/>
        <v>STEM</v>
      </c>
      <c r="B123" s="5" t="str">
        <f t="shared" si="37"/>
        <v>SPS3</v>
      </c>
      <c r="C123" s="5" t="str">
        <f t="shared" si="38"/>
        <v>CH</v>
      </c>
      <c r="D123" t="s">
        <v>623</v>
      </c>
      <c r="E123" t="str">
        <f t="shared" si="73"/>
        <v>PJ/yr.</v>
      </c>
      <c r="F123" s="1">
        <f>'[1]Electricity and CHPs_IN'!L$23/SUM('[1]Electricity and CHPs_IN'!L$22:L$23)*F91</f>
        <v>7.4571350728836795E-4</v>
      </c>
      <c r="G123" s="1">
        <f>'[1]Electricity and CHPs_IN'!M$23/SUM('[1]Electricity and CHPs_IN'!M$22:M$23)*G91</f>
        <v>3.2806577966252085E-5</v>
      </c>
      <c r="H123" s="1">
        <f>'[1]Electricity and CHPs_IN'!N$23/SUM('[1]Electricity and CHPs_IN'!N$22:N$23)*H91</f>
        <v>6.714203437247961E-5</v>
      </c>
      <c r="I123" s="1">
        <f>'[1]Electricity and CHPs_IN'!O$23/SUM('[1]Electricity and CHPs_IN'!O$22:O$23)*I91</f>
        <v>0.17695622785984594</v>
      </c>
      <c r="J123" s="1">
        <f>'[1]Electricity and CHPs_IN'!P$23/SUM('[1]Electricity and CHPs_IN'!P$22:P$23)*J91</f>
        <v>0.35786386049308033</v>
      </c>
      <c r="K123" s="1">
        <f>'[1]Electricity and CHPs_IN'!Q$23/SUM('[1]Electricity and CHPs_IN'!Q$22:Q$23)*K91</f>
        <v>1.2838036290658015E-4</v>
      </c>
    </row>
    <row r="124" spans="1:11" x14ac:dyDescent="0.35">
      <c r="A124" s="5" t="str">
        <f t="shared" si="37"/>
        <v>STEM</v>
      </c>
      <c r="B124" s="5" t="str">
        <f t="shared" si="37"/>
        <v>SPS3</v>
      </c>
      <c r="C124" s="5" t="str">
        <f t="shared" si="38"/>
        <v>CH</v>
      </c>
      <c r="D124" t="s">
        <v>624</v>
      </c>
      <c r="E124" t="str">
        <f t="shared" si="73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4.4378550511802985E-4</v>
      </c>
      <c r="J124" s="1">
        <f>'[1]Electricity and CHPs_IN'!P$23/SUM('[1]Electricity and CHPs_IN'!P$22:P$23)*J92</f>
        <v>0.36470970731455388</v>
      </c>
      <c r="K124" s="1">
        <f>'[1]Electricity and CHPs_IN'!Q$23/SUM('[1]Electricity and CHPs_IN'!Q$22:Q$23)*K92</f>
        <v>3.0246997180230045E-4</v>
      </c>
    </row>
    <row r="125" spans="1:11" x14ac:dyDescent="0.35">
      <c r="A125" s="5" t="str">
        <f t="shared" si="37"/>
        <v>STEM</v>
      </c>
      <c r="B125" s="5" t="str">
        <f t="shared" si="37"/>
        <v>SPS3</v>
      </c>
      <c r="C125" s="5" t="str">
        <f t="shared" si="38"/>
        <v>CH</v>
      </c>
      <c r="D125" t="s">
        <v>625</v>
      </c>
      <c r="E125" t="str">
        <f t="shared" si="73"/>
        <v>PJ/yr.</v>
      </c>
      <c r="F125" s="1">
        <f t="shared" ref="F125:K125" si="74">F93</f>
        <v>0.95939035024882946</v>
      </c>
      <c r="G125" s="1">
        <f t="shared" si="74"/>
        <v>1.1059592127764419</v>
      </c>
      <c r="H125" s="1">
        <f t="shared" si="74"/>
        <v>1.1588636783186652</v>
      </c>
      <c r="I125" s="1">
        <f t="shared" si="74"/>
        <v>1.1588695642950515</v>
      </c>
      <c r="J125" s="1">
        <f t="shared" si="74"/>
        <v>2.896658452359731</v>
      </c>
      <c r="K125" s="1">
        <f t="shared" si="74"/>
        <v>3.8404860371326976</v>
      </c>
    </row>
    <row r="126" spans="1:11" x14ac:dyDescent="0.35">
      <c r="A126" s="5" t="str">
        <f t="shared" si="37"/>
        <v>STEM</v>
      </c>
      <c r="B126" s="5" t="str">
        <f t="shared" si="37"/>
        <v>SPS3</v>
      </c>
      <c r="C126" s="5" t="str">
        <f t="shared" si="38"/>
        <v>CH</v>
      </c>
      <c r="D126" t="s">
        <v>626</v>
      </c>
      <c r="E126" t="str">
        <f t="shared" si="73"/>
        <v>PJ/yr.</v>
      </c>
      <c r="F126" s="1">
        <f>'[1]Electricity and CHPs_IN'!L$23/SUM('[1]Electricity and CHPs_IN'!L$22:L$23)*F94</f>
        <v>1.5407514684878755E-2</v>
      </c>
      <c r="G126" s="1">
        <f>'[1]Electricity and CHPs_IN'!M$23/SUM('[1]Electricity and CHPs_IN'!M$22:M$23)*G94</f>
        <v>1.2412269018960474E-2</v>
      </c>
      <c r="H126" s="1">
        <f>'[1]Electricity and CHPs_IN'!N$23/SUM('[1]Electricity and CHPs_IN'!N$22:N$23)*H94</f>
        <v>4.5468837852788104E-5</v>
      </c>
      <c r="I126" s="1">
        <f>'[1]Electricity and CHPs_IN'!O$23/SUM('[1]Electricity and CHPs_IN'!O$22:O$23)*I94</f>
        <v>6.2360702035340286E-4</v>
      </c>
      <c r="J126" s="1">
        <f>'[1]Electricity and CHPs_IN'!P$23/SUM('[1]Electricity and CHPs_IN'!P$22:P$23)*J94</f>
        <v>9.089709539546275E-5</v>
      </c>
      <c r="K126" s="1">
        <f>'[1]Electricity and CHPs_IN'!Q$23/SUM('[1]Electricity and CHPs_IN'!Q$22:Q$23)*K94</f>
        <v>2.4397744801914699E-4</v>
      </c>
    </row>
    <row r="127" spans="1:11" x14ac:dyDescent="0.35">
      <c r="A127" s="5" t="str">
        <f t="shared" si="37"/>
        <v>STEM</v>
      </c>
      <c r="B127" s="5" t="str">
        <f t="shared" si="37"/>
        <v>SPS3</v>
      </c>
      <c r="C127" s="5" t="str">
        <f t="shared" si="38"/>
        <v>CH</v>
      </c>
      <c r="D127" t="s">
        <v>627</v>
      </c>
      <c r="E127" t="str">
        <f t="shared" si="73"/>
        <v>PJ/yr.</v>
      </c>
      <c r="F127" s="1">
        <f>'[1]Electricity and CHPs_IN'!L$23/SUM('[1]Electricity and CHPs_IN'!L$22:L$23)*F95</f>
        <v>0</v>
      </c>
      <c r="G127" s="1">
        <f>'[1]Electricity and CHPs_IN'!M$23/SUM('[1]Electricity and CHPs_IN'!M$22:M$23)*G95</f>
        <v>0</v>
      </c>
      <c r="H127" s="1">
        <f>'[1]Electricity and CHPs_IN'!N$23/SUM('[1]Electricity and CHPs_IN'!N$22:N$23)*H95</f>
        <v>0</v>
      </c>
      <c r="I127" s="1">
        <f>'[1]Electricity and CHPs_IN'!O$23/SUM('[1]Electricity and CHPs_IN'!O$22:O$23)*I95</f>
        <v>7.9626657198538401E-5</v>
      </c>
      <c r="J127" s="1">
        <f>'[1]Electricity and CHPs_IN'!P$23/SUM('[1]Electricity and CHPs_IN'!P$22:P$23)*J95</f>
        <v>9.1997001464265839E-4</v>
      </c>
      <c r="K127" s="1">
        <f>'[1]Electricity and CHPs_IN'!Q$23/SUM('[1]Electricity and CHPs_IN'!Q$22:Q$23)*K95</f>
        <v>4.1584558661041961E-4</v>
      </c>
    </row>
    <row r="128" spans="1:11" x14ac:dyDescent="0.35">
      <c r="A128" s="5" t="str">
        <f t="shared" si="37"/>
        <v>STEM</v>
      </c>
      <c r="B128" s="5" t="str">
        <f t="shared" si="37"/>
        <v>SPS3</v>
      </c>
      <c r="C128" s="5" t="str">
        <f t="shared" si="38"/>
        <v>CH</v>
      </c>
      <c r="D128" t="s">
        <v>800</v>
      </c>
      <c r="E128" t="str">
        <f t="shared" si="73"/>
        <v>PJ/yr.</v>
      </c>
      <c r="F128" s="1">
        <f>SUM(F129:F134)</f>
        <v>8.2846136291977963</v>
      </c>
      <c r="G128" s="1">
        <f t="shared" ref="G128:K128" si="75">SUM(G129:G134)</f>
        <v>8.957232353085109</v>
      </c>
      <c r="H128" s="1">
        <f t="shared" si="75"/>
        <v>9.8718678558857214</v>
      </c>
      <c r="I128" s="1">
        <f t="shared" si="75"/>
        <v>9.1456422533261872</v>
      </c>
      <c r="J128" s="1">
        <f t="shared" si="75"/>
        <v>9.3727018330200256</v>
      </c>
      <c r="K128" s="1">
        <f t="shared" si="75"/>
        <v>11.013785393579353</v>
      </c>
    </row>
    <row r="129" spans="1:17" x14ac:dyDescent="0.35">
      <c r="A129" s="5" t="str">
        <f t="shared" si="37"/>
        <v>STEM</v>
      </c>
      <c r="B129" s="5" t="str">
        <f t="shared" si="37"/>
        <v>SPS3</v>
      </c>
      <c r="C129" s="5" t="str">
        <f t="shared" si="38"/>
        <v>CH</v>
      </c>
      <c r="D129" t="s">
        <v>53</v>
      </c>
      <c r="E129" t="str">
        <f>E73</f>
        <v>PJ/yr.</v>
      </c>
      <c r="F129" s="1">
        <f>'[1]Electricity and CHPs'!B19</f>
        <v>6.5070024678129039</v>
      </c>
      <c r="G129" s="1">
        <f>'[1]Electricity and CHPs'!C19</f>
        <v>7.3027680641265373</v>
      </c>
      <c r="H129" s="1">
        <f>'[1]Electricity and CHPs'!D19</f>
        <v>8.1987449780166877</v>
      </c>
      <c r="I129" s="1">
        <f>'[1]Electricity and CHPs'!E19</f>
        <v>7.3981391097910283</v>
      </c>
      <c r="J129" s="1">
        <f>'[1]Electricity and CHPs'!F19</f>
        <v>7.7443909415744345</v>
      </c>
      <c r="K129" s="1">
        <f>'[1]Electricity and CHPs'!G19</f>
        <v>4.6999721520593658</v>
      </c>
    </row>
    <row r="130" spans="1:17" x14ac:dyDescent="0.35">
      <c r="A130" s="5" t="str">
        <f t="shared" si="37"/>
        <v>STEM</v>
      </c>
      <c r="B130" s="5" t="str">
        <f t="shared" si="37"/>
        <v>SPS3</v>
      </c>
      <c r="C130" s="5" t="str">
        <f t="shared" si="38"/>
        <v>CH</v>
      </c>
      <c r="D130" t="s">
        <v>52</v>
      </c>
      <c r="E130" t="str">
        <f>E129</f>
        <v>PJ/yr.</v>
      </c>
      <c r="F130" s="1">
        <f>'[1]Electricity and CHPs'!B20</f>
        <v>0</v>
      </c>
      <c r="G130" s="1">
        <f>'[1]Electricity and CHPs'!C20</f>
        <v>0</v>
      </c>
      <c r="H130" s="1">
        <f>'[1]Electricity and CHPs'!D20</f>
        <v>0</v>
      </c>
      <c r="I130" s="1">
        <f>'[1]Electricity and CHPs'!E20</f>
        <v>0</v>
      </c>
      <c r="J130" s="1">
        <f>'[1]Electricity and CHPs'!F20</f>
        <v>3.1756815315912552E-4</v>
      </c>
      <c r="K130" s="1">
        <f>'[1]Electricity and CHPs'!G20</f>
        <v>4.4885644260039532</v>
      </c>
    </row>
    <row r="131" spans="1:17" x14ac:dyDescent="0.35">
      <c r="A131" s="5" t="str">
        <f t="shared" si="37"/>
        <v>STEM</v>
      </c>
      <c r="B131" s="5" t="str">
        <f t="shared" si="37"/>
        <v>SPS3</v>
      </c>
      <c r="C131" s="5" t="str">
        <f t="shared" si="38"/>
        <v>CH</v>
      </c>
      <c r="D131" t="s">
        <v>51</v>
      </c>
      <c r="E131" t="str">
        <f>E150</f>
        <v>PJ/yr.</v>
      </c>
      <c r="F131" s="1">
        <f>'[1]Electricity and CHPs'!B26</f>
        <v>1.547551296016459</v>
      </c>
      <c r="G131" s="1">
        <f>'[1]Electricity and CHPs'!C26</f>
        <v>1.4243011341892955</v>
      </c>
      <c r="H131" s="1">
        <f>'[1]Electricity and CHPs'!D26</f>
        <v>1.3364133501741997</v>
      </c>
      <c r="I131" s="1">
        <f>'[1]Electricity and CHPs'!E26</f>
        <v>1.4145528989682306</v>
      </c>
      <c r="J131" s="1">
        <f>'[1]Electricity and CHPs'!F26</f>
        <v>1.2971308418011731</v>
      </c>
      <c r="K131" s="1">
        <f>'[1]Electricity and CHPs'!G26</f>
        <v>0.50746591146531517</v>
      </c>
    </row>
    <row r="132" spans="1:17" x14ac:dyDescent="0.35">
      <c r="A132" s="5" t="str">
        <f t="shared" si="37"/>
        <v>STEM</v>
      </c>
      <c r="B132" s="5" t="str">
        <f t="shared" si="37"/>
        <v>SPS3</v>
      </c>
      <c r="C132" s="5" t="str">
        <f t="shared" si="38"/>
        <v>CH</v>
      </c>
      <c r="D132" t="s">
        <v>50</v>
      </c>
      <c r="E132" t="str">
        <f>E131</f>
        <v>PJ/yr.</v>
      </c>
      <c r="F132" s="1">
        <f>'[1]Electricity and CHPs'!B27</f>
        <v>0</v>
      </c>
      <c r="G132" s="1">
        <f>'[1]Electricity and CHPs'!C27</f>
        <v>0</v>
      </c>
      <c r="H132" s="1">
        <f>'[1]Electricity and CHPs'!D27</f>
        <v>0</v>
      </c>
      <c r="I132" s="1">
        <f>'[1]Electricity and CHPs'!E27</f>
        <v>0</v>
      </c>
      <c r="J132" s="1">
        <f>'[1]Electricity and CHPs'!F27</f>
        <v>4.6735729888746555E-5</v>
      </c>
      <c r="K132" s="1">
        <f>'[1]Electricity and CHPs'!G27</f>
        <v>0.71887070634310557</v>
      </c>
    </row>
    <row r="133" spans="1:17" x14ac:dyDescent="0.35">
      <c r="A133" s="5" t="str">
        <f t="shared" si="37"/>
        <v>STEM</v>
      </c>
      <c r="B133" s="5" t="str">
        <f t="shared" si="37"/>
        <v>SPS3</v>
      </c>
      <c r="C133" s="5" t="str">
        <f t="shared" si="38"/>
        <v>CH</v>
      </c>
      <c r="D133" t="s">
        <v>48</v>
      </c>
      <c r="E133" t="str">
        <f>E153</f>
        <v>PJ/yr.</v>
      </c>
      <c r="F133" s="1">
        <f>'[1]Electricity and CHPs'!B44</f>
        <v>0.23005986536843293</v>
      </c>
      <c r="G133" s="1">
        <f>'[1]Electricity and CHPs'!C44</f>
        <v>0.23016315476927521</v>
      </c>
      <c r="H133" s="1">
        <f>'[1]Electricity and CHPs'!D44</f>
        <v>0.33670952769483437</v>
      </c>
      <c r="I133" s="1">
        <f>'[1]Electricity and CHPs'!E44</f>
        <v>0.33295024456692901</v>
      </c>
      <c r="J133" s="1">
        <f>'[1]Electricity and CHPs'!F44</f>
        <v>0.33078828712489111</v>
      </c>
      <c r="K133" s="1">
        <f>'[1]Electricity and CHPs'!G44</f>
        <v>7.3087125280484107E-5</v>
      </c>
    </row>
    <row r="134" spans="1:17" x14ac:dyDescent="0.35">
      <c r="A134" s="5" t="str">
        <f t="shared" si="37"/>
        <v>STEM</v>
      </c>
      <c r="B134" s="5" t="str">
        <f t="shared" si="37"/>
        <v>SPS3</v>
      </c>
      <c r="C134" s="5" t="str">
        <f t="shared" si="38"/>
        <v>CH</v>
      </c>
      <c r="D134" t="s">
        <v>49</v>
      </c>
      <c r="E134" t="str">
        <f>E133</f>
        <v>PJ/yr.</v>
      </c>
      <c r="F134" s="1">
        <f>'[1]Electricity and CHPs'!B45</f>
        <v>0</v>
      </c>
      <c r="G134" s="1">
        <f>'[1]Electricity and CHPs'!C45</f>
        <v>0</v>
      </c>
      <c r="H134" s="1">
        <f>'[1]Electricity and CHPs'!D45</f>
        <v>0</v>
      </c>
      <c r="I134" s="1">
        <f>'[1]Electricity and CHPs'!E45</f>
        <v>0</v>
      </c>
      <c r="J134" s="1">
        <f>'[1]Electricity and CHPs'!F45</f>
        <v>2.7458636478782345E-5</v>
      </c>
      <c r="K134" s="1">
        <f>'[1]Electricity and CHPs'!G45</f>
        <v>0.59883911058233219</v>
      </c>
    </row>
    <row r="135" spans="1:17" x14ac:dyDescent="0.35">
      <c r="A135" s="5" t="str">
        <f t="shared" si="37"/>
        <v>STEM</v>
      </c>
      <c r="B135" s="5" t="str">
        <f t="shared" si="37"/>
        <v>SPS3</v>
      </c>
      <c r="C135" s="5" t="str">
        <f t="shared" si="38"/>
        <v>CH</v>
      </c>
      <c r="D135" t="s">
        <v>89</v>
      </c>
      <c r="E135" t="str">
        <f t="shared" ref="E135:E149" si="76">E134</f>
        <v>PJ/yr.</v>
      </c>
      <c r="F135" s="1">
        <f>SUM(F136:F139)</f>
        <v>4.0272768819146814</v>
      </c>
      <c r="G135" s="1">
        <f t="shared" ref="G135:K135" si="77">SUM(G136:G139)</f>
        <v>4.3635345991579166</v>
      </c>
      <c r="H135" s="1">
        <f t="shared" si="77"/>
        <v>4.7675791640954435</v>
      </c>
      <c r="I135" s="1">
        <f t="shared" si="77"/>
        <v>4.4063460043796292</v>
      </c>
      <c r="J135" s="1">
        <f t="shared" si="77"/>
        <v>4.5209430436293276</v>
      </c>
      <c r="K135" s="1">
        <f t="shared" si="77"/>
        <v>5.2074365979358701</v>
      </c>
      <c r="M135" s="1"/>
      <c r="N135" s="1"/>
      <c r="O135" s="1"/>
      <c r="P135" s="1"/>
      <c r="Q135" s="1"/>
    </row>
    <row r="136" spans="1:17" x14ac:dyDescent="0.35">
      <c r="A136" s="5" t="str">
        <f t="shared" si="37"/>
        <v>STEM</v>
      </c>
      <c r="B136" s="5" t="str">
        <f t="shared" si="37"/>
        <v>SPS3</v>
      </c>
      <c r="C136" s="5" t="str">
        <f t="shared" si="38"/>
        <v>CH</v>
      </c>
      <c r="D136" t="s">
        <v>60</v>
      </c>
      <c r="E136" t="str">
        <f>E135</f>
        <v>PJ/yr.</v>
      </c>
      <c r="F136" s="1" cm="1">
        <f t="array" ref="F136">F129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3.253501233906452</v>
      </c>
      <c r="G136" s="1" cm="1">
        <f t="array" ref="G136">G129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3.6513840320632687</v>
      </c>
      <c r="H136" s="1" cm="1">
        <f t="array" ref="H136">H129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4.0993724890083438</v>
      </c>
      <c r="I136" s="1" cm="1">
        <f t="array" ref="I136">I129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3.6990695548955141</v>
      </c>
      <c r="J136" s="1" cm="1">
        <f t="array" ref="J136">J129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3.8721954707872173</v>
      </c>
      <c r="K136" s="1" cm="1">
        <f t="array" ref="K136">K129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2.3499860760296829</v>
      </c>
    </row>
    <row r="137" spans="1:17" x14ac:dyDescent="0.35">
      <c r="A137" s="5" t="str">
        <f t="shared" si="37"/>
        <v>STEM</v>
      </c>
      <c r="B137" s="5" t="str">
        <f t="shared" si="37"/>
        <v>SPS3</v>
      </c>
      <c r="C137" s="5" t="str">
        <f t="shared" si="38"/>
        <v>CH</v>
      </c>
      <c r="D137" t="s">
        <v>61</v>
      </c>
      <c r="E137" t="str">
        <f t="shared" si="76"/>
        <v>PJ/yr.</v>
      </c>
      <c r="F137" s="1" cm="1">
        <f t="array" ref="F137">F130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7" s="1" cm="1">
        <f t="array" ref="G137">G130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7" s="1" cm="1">
        <f t="array" ref="H137">H130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7" s="1" cm="1">
        <f t="array" ref="I137">I130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7" s="1" cm="1">
        <f t="array" ref="J137">J130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1.5878407657956274E-4</v>
      </c>
      <c r="K137" s="1" cm="1">
        <f t="array" ref="K137">K130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2.2442822130019766</v>
      </c>
    </row>
    <row r="138" spans="1:17" x14ac:dyDescent="0.35">
      <c r="A138" s="5" t="str">
        <f t="shared" si="37"/>
        <v>STEM</v>
      </c>
      <c r="B138" s="5" t="str">
        <f t="shared" si="37"/>
        <v>SPS3</v>
      </c>
      <c r="C138" s="5" t="str">
        <f t="shared" si="38"/>
        <v>CH</v>
      </c>
      <c r="D138" t="s">
        <v>62</v>
      </c>
      <c r="E138" t="str">
        <f t="shared" si="76"/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0.77377564800822951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0.71215056709464775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0.66820667508709986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0.70727644948411539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0.64856542090058655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0.25373295573265758</v>
      </c>
    </row>
    <row r="139" spans="1:17" x14ac:dyDescent="0.35">
      <c r="A139" s="5" t="str">
        <f t="shared" si="37"/>
        <v>STEM</v>
      </c>
      <c r="B139" s="5" t="str">
        <f t="shared" si="37"/>
        <v>SPS3</v>
      </c>
      <c r="C139" s="5" t="str">
        <f t="shared" si="38"/>
        <v>CH</v>
      </c>
      <c r="D139" t="s">
        <v>63</v>
      </c>
      <c r="E139" t="str">
        <f t="shared" si="76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2.3367864944373277E-5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0.35943535317155278</v>
      </c>
    </row>
    <row r="140" spans="1:17" x14ac:dyDescent="0.35">
      <c r="A140" s="5" t="str">
        <f t="shared" si="37"/>
        <v>STEM</v>
      </c>
      <c r="B140" s="5" t="str">
        <f t="shared" si="37"/>
        <v>SPS3</v>
      </c>
      <c r="C140" s="5" t="str">
        <f t="shared" si="38"/>
        <v>CH</v>
      </c>
      <c r="D140" t="s">
        <v>64</v>
      </c>
      <c r="E140" t="str">
        <f t="shared" si="76"/>
        <v>PJ/yr.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</row>
    <row r="141" spans="1:17" x14ac:dyDescent="0.35">
      <c r="A141" s="5" t="str">
        <f t="shared" si="37"/>
        <v>STEM</v>
      </c>
      <c r="B141" s="5" t="str">
        <f t="shared" si="37"/>
        <v>SPS3</v>
      </c>
      <c r="C141" s="5" t="str">
        <f t="shared" si="38"/>
        <v>CH</v>
      </c>
      <c r="D141" t="s">
        <v>65</v>
      </c>
      <c r="E141" t="str">
        <f t="shared" si="76"/>
        <v>PJ/yr.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</row>
    <row r="142" spans="1:17" x14ac:dyDescent="0.35">
      <c r="A142" s="5" t="str">
        <f t="shared" si="37"/>
        <v>STEM</v>
      </c>
      <c r="B142" s="5" t="str">
        <f t="shared" si="37"/>
        <v>SPS3</v>
      </c>
      <c r="C142" s="5" t="str">
        <f t="shared" si="38"/>
        <v>CH</v>
      </c>
      <c r="D142" t="s">
        <v>801</v>
      </c>
      <c r="E142" t="str">
        <f>E141</f>
        <v>PJ/yr.</v>
      </c>
      <c r="F142" s="1">
        <f>SUM(F143:F148)</f>
        <v>4.2573367472831141</v>
      </c>
      <c r="G142" s="1">
        <f t="shared" ref="G142:K142" si="78">SUM(G143:G148)</f>
        <v>4.5936977539271915</v>
      </c>
      <c r="H142" s="1">
        <f t="shared" si="78"/>
        <v>5.1042886917902779</v>
      </c>
      <c r="I142" s="1">
        <f t="shared" si="78"/>
        <v>4.739296248946558</v>
      </c>
      <c r="J142" s="1">
        <f t="shared" si="78"/>
        <v>4.851758789390697</v>
      </c>
      <c r="K142" s="1">
        <f t="shared" si="78"/>
        <v>5.8063487956434834</v>
      </c>
    </row>
    <row r="143" spans="1:17" x14ac:dyDescent="0.35">
      <c r="A143" s="5" t="str">
        <f t="shared" si="37"/>
        <v>STEM</v>
      </c>
      <c r="B143" s="5" t="str">
        <f t="shared" si="37"/>
        <v>SPS3</v>
      </c>
      <c r="C143" s="5" t="str">
        <f t="shared" si="38"/>
        <v>CH</v>
      </c>
      <c r="D143" t="s">
        <v>56</v>
      </c>
      <c r="E143" t="str">
        <f>E142</f>
        <v>PJ/yr.</v>
      </c>
      <c r="F143" s="1">
        <f>F129-F136</f>
        <v>3.253501233906452</v>
      </c>
      <c r="G143" s="1">
        <f t="shared" ref="G143:K143" si="79">G129-G136</f>
        <v>3.6513840320632687</v>
      </c>
      <c r="H143" s="1">
        <f t="shared" si="79"/>
        <v>4.0993724890083438</v>
      </c>
      <c r="I143" s="1">
        <f t="shared" si="79"/>
        <v>3.6990695548955141</v>
      </c>
      <c r="J143" s="1">
        <f t="shared" si="79"/>
        <v>3.8721954707872173</v>
      </c>
      <c r="K143" s="1">
        <f t="shared" si="79"/>
        <v>2.3499860760296829</v>
      </c>
    </row>
    <row r="144" spans="1:17" x14ac:dyDescent="0.35">
      <c r="A144" s="5" t="str">
        <f t="shared" si="37"/>
        <v>STEM</v>
      </c>
      <c r="B144" s="5" t="str">
        <f t="shared" si="37"/>
        <v>SPS3</v>
      </c>
      <c r="C144" s="5" t="str">
        <f t="shared" si="38"/>
        <v>CH</v>
      </c>
      <c r="D144" t="s">
        <v>57</v>
      </c>
      <c r="E144" t="str">
        <f t="shared" si="76"/>
        <v>PJ/yr.</v>
      </c>
      <c r="F144" s="1">
        <f t="shared" ref="F144:K144" si="80">F130-F137</f>
        <v>0</v>
      </c>
      <c r="G144" s="1">
        <f t="shared" si="80"/>
        <v>0</v>
      </c>
      <c r="H144" s="1">
        <f t="shared" si="80"/>
        <v>0</v>
      </c>
      <c r="I144" s="1">
        <f t="shared" si="80"/>
        <v>0</v>
      </c>
      <c r="J144" s="1">
        <f t="shared" si="80"/>
        <v>1.5878407657956279E-4</v>
      </c>
      <c r="K144" s="1">
        <f t="shared" si="80"/>
        <v>2.2442822130019766</v>
      </c>
    </row>
    <row r="145" spans="1:11" x14ac:dyDescent="0.35">
      <c r="A145" s="5" t="str">
        <f t="shared" si="37"/>
        <v>STEM</v>
      </c>
      <c r="B145" s="5" t="str">
        <f t="shared" si="37"/>
        <v>SPS3</v>
      </c>
      <c r="C145" s="5" t="str">
        <f t="shared" si="38"/>
        <v>CH</v>
      </c>
      <c r="D145" t="s">
        <v>58</v>
      </c>
      <c r="E145" t="str">
        <f t="shared" si="76"/>
        <v>PJ/yr.</v>
      </c>
      <c r="F145" s="1">
        <f t="shared" ref="F145:K145" si="81">F131-F138</f>
        <v>0.77377564800822951</v>
      </c>
      <c r="G145" s="1">
        <f t="shared" si="81"/>
        <v>0.71215056709464775</v>
      </c>
      <c r="H145" s="1">
        <f t="shared" si="81"/>
        <v>0.66820667508709986</v>
      </c>
      <c r="I145" s="1">
        <f t="shared" si="81"/>
        <v>0.70727644948411517</v>
      </c>
      <c r="J145" s="1">
        <f t="shared" si="81"/>
        <v>0.64856542090058655</v>
      </c>
      <c r="K145" s="1">
        <f t="shared" si="81"/>
        <v>0.25373295573265758</v>
      </c>
    </row>
    <row r="146" spans="1:11" x14ac:dyDescent="0.35">
      <c r="A146" s="5" t="str">
        <f t="shared" si="37"/>
        <v>STEM</v>
      </c>
      <c r="B146" s="5" t="str">
        <f t="shared" si="37"/>
        <v>SPS3</v>
      </c>
      <c r="C146" s="5" t="str">
        <f t="shared" si="38"/>
        <v>CH</v>
      </c>
      <c r="D146" t="s">
        <v>59</v>
      </c>
      <c r="E146" t="str">
        <f t="shared" si="76"/>
        <v>PJ/yr.</v>
      </c>
      <c r="F146" s="1">
        <f t="shared" ref="F146:K146" si="82">F132-F139</f>
        <v>0</v>
      </c>
      <c r="G146" s="1">
        <f t="shared" si="82"/>
        <v>0</v>
      </c>
      <c r="H146" s="1">
        <f t="shared" si="82"/>
        <v>0</v>
      </c>
      <c r="I146" s="1">
        <f t="shared" si="82"/>
        <v>0</v>
      </c>
      <c r="J146" s="1">
        <f t="shared" si="82"/>
        <v>2.3367864944373277E-5</v>
      </c>
      <c r="K146" s="1">
        <f t="shared" si="82"/>
        <v>0.35943535317155278</v>
      </c>
    </row>
    <row r="147" spans="1:11" x14ac:dyDescent="0.35">
      <c r="A147" s="5" t="str">
        <f t="shared" si="37"/>
        <v>STEM</v>
      </c>
      <c r="B147" s="5" t="str">
        <f t="shared" si="37"/>
        <v>SPS3</v>
      </c>
      <c r="C147" s="5" t="str">
        <f t="shared" si="38"/>
        <v>CH</v>
      </c>
      <c r="D147" t="s">
        <v>54</v>
      </c>
      <c r="E147" t="str">
        <f t="shared" si="76"/>
        <v>PJ/yr.</v>
      </c>
      <c r="F147" s="1">
        <f t="shared" ref="F147:K147" si="83">F133-F140</f>
        <v>0.23005986536843293</v>
      </c>
      <c r="G147" s="1">
        <f t="shared" si="83"/>
        <v>0.23016315476927521</v>
      </c>
      <c r="H147" s="1">
        <f t="shared" si="83"/>
        <v>0.33670952769483437</v>
      </c>
      <c r="I147" s="1">
        <f t="shared" si="83"/>
        <v>0.33295024456692901</v>
      </c>
      <c r="J147" s="1">
        <f t="shared" si="83"/>
        <v>0.33078828712489111</v>
      </c>
      <c r="K147" s="1">
        <f t="shared" si="83"/>
        <v>7.3087125280484107E-5</v>
      </c>
    </row>
    <row r="148" spans="1:11" x14ac:dyDescent="0.35">
      <c r="A148" s="5" t="str">
        <f t="shared" ref="A148:B179" si="84">A147</f>
        <v>STEM</v>
      </c>
      <c r="B148" s="5" t="str">
        <f t="shared" si="84"/>
        <v>SPS3</v>
      </c>
      <c r="C148" s="5" t="str">
        <f t="shared" ref="C148:C179" si="85">C147</f>
        <v>CH</v>
      </c>
      <c r="D148" t="s">
        <v>55</v>
      </c>
      <c r="E148" t="str">
        <f t="shared" si="76"/>
        <v>PJ/yr.</v>
      </c>
      <c r="F148" s="1">
        <f t="shared" ref="F148:K148" si="86">F134-F141</f>
        <v>0</v>
      </c>
      <c r="G148" s="1">
        <f t="shared" si="86"/>
        <v>0</v>
      </c>
      <c r="H148" s="1">
        <f t="shared" si="86"/>
        <v>0</v>
      </c>
      <c r="I148" s="1">
        <f t="shared" si="86"/>
        <v>0</v>
      </c>
      <c r="J148" s="1">
        <f t="shared" si="86"/>
        <v>2.7458636478782345E-5</v>
      </c>
      <c r="K148" s="1">
        <f t="shared" si="86"/>
        <v>0.59883911058233219</v>
      </c>
    </row>
    <row r="149" spans="1:11" x14ac:dyDescent="0.35">
      <c r="A149" s="5" t="str">
        <f t="shared" si="84"/>
        <v>STEM</v>
      </c>
      <c r="B149" s="5" t="str">
        <f t="shared" si="84"/>
        <v>SPS3</v>
      </c>
      <c r="C149" s="5" t="str">
        <f t="shared" si="85"/>
        <v>CH</v>
      </c>
      <c r="D149" t="s">
        <v>802</v>
      </c>
      <c r="E149" t="str">
        <f t="shared" si="76"/>
        <v>PJ/yr.</v>
      </c>
      <c r="F149" s="1">
        <f>SUM(F150:F156)</f>
        <v>0.17442412647650965</v>
      </c>
      <c r="G149" s="1">
        <f t="shared" ref="G149:K149" si="87">SUM(G150:G156)</f>
        <v>0.1744022985202488</v>
      </c>
      <c r="H149" s="1">
        <f t="shared" si="87"/>
        <v>1.1415969635948857</v>
      </c>
      <c r="I149" s="1">
        <f t="shared" si="87"/>
        <v>3.1454213620301164</v>
      </c>
      <c r="J149" s="1">
        <f t="shared" si="87"/>
        <v>4.7956727407179578</v>
      </c>
      <c r="K149" s="1">
        <f t="shared" si="87"/>
        <v>6.140161777686874</v>
      </c>
    </row>
    <row r="150" spans="1:11" x14ac:dyDescent="0.35">
      <c r="A150" s="5" t="str">
        <f t="shared" si="84"/>
        <v>STEM</v>
      </c>
      <c r="B150" s="5" t="str">
        <f t="shared" si="84"/>
        <v>SPS3</v>
      </c>
      <c r="C150" s="5" t="str">
        <f t="shared" si="85"/>
        <v>CH</v>
      </c>
      <c r="D150" t="s">
        <v>66</v>
      </c>
      <c r="E150" t="str">
        <f>E84</f>
        <v>PJ/yr.</v>
      </c>
      <c r="F150" s="1">
        <f>'[1]Electricity and CHPs'!B25</f>
        <v>1.9411998127158161E-3</v>
      </c>
      <c r="G150" s="1">
        <f>'[1]Electricity and CHPs'!C25</f>
        <v>1.0478758982727224E-2</v>
      </c>
      <c r="H150" s="1">
        <f>'[1]Electricity and CHPs'!D25</f>
        <v>1.2218396201928796E-3</v>
      </c>
      <c r="I150" s="1">
        <f>'[1]Electricity and CHPs'!E25</f>
        <v>0.75922865394565064</v>
      </c>
      <c r="J150" s="1">
        <f>'[1]Electricity and CHPs'!F25</f>
        <v>1.3158631086747894</v>
      </c>
      <c r="K150" s="1">
        <f>'[1]Electricity and CHPs'!G25</f>
        <v>1.5410259247476494</v>
      </c>
    </row>
    <row r="151" spans="1:11" x14ac:dyDescent="0.35">
      <c r="A151" s="5" t="str">
        <f t="shared" si="84"/>
        <v>STEM</v>
      </c>
      <c r="B151" s="5" t="str">
        <f t="shared" si="84"/>
        <v>SPS3</v>
      </c>
      <c r="C151" s="5" t="str">
        <f t="shared" si="85"/>
        <v>CH</v>
      </c>
      <c r="D151" t="s">
        <v>67</v>
      </c>
      <c r="E151" t="str">
        <f>E168</f>
        <v>PJ/yr.</v>
      </c>
      <c r="F151" s="1">
        <f>'[1]Electricity and CHPs'!B31</f>
        <v>0</v>
      </c>
      <c r="G151" s="1">
        <f>'[1]Electricity and CHPs'!C31</f>
        <v>0</v>
      </c>
      <c r="H151" s="1">
        <f>'[1]Electricity and CHPs'!D31</f>
        <v>0</v>
      </c>
      <c r="I151" s="1">
        <f>'[1]Electricity and CHPs'!E31</f>
        <v>0</v>
      </c>
      <c r="J151" s="1">
        <f>'[1]Electricity and CHPs'!F31</f>
        <v>1.0061863976424751E-4</v>
      </c>
      <c r="K151" s="1">
        <f>'[1]Electricity and CHPs'!G31</f>
        <v>0.68492411603039793</v>
      </c>
    </row>
    <row r="152" spans="1:11" x14ac:dyDescent="0.35">
      <c r="A152" s="5" t="str">
        <f t="shared" si="84"/>
        <v>STEM</v>
      </c>
      <c r="B152" s="5" t="str">
        <f t="shared" si="84"/>
        <v>SPS3</v>
      </c>
      <c r="C152" s="5" t="str">
        <f t="shared" si="85"/>
        <v>CH</v>
      </c>
      <c r="D152" t="s">
        <v>68</v>
      </c>
      <c r="E152" t="str">
        <f>E75</f>
        <v>PJ/yr.</v>
      </c>
      <c r="F152" s="1">
        <f>'[1]Electricity and CHPs'!B42</f>
        <v>0.17248292666379383</v>
      </c>
      <c r="G152" s="1">
        <f>'[1]Electricity and CHPs'!C42</f>
        <v>0.16392353953752159</v>
      </c>
      <c r="H152" s="1">
        <f>'[1]Electricity and CHPs'!D42</f>
        <v>1.1403751239746929</v>
      </c>
      <c r="I152" s="1">
        <f>'[1]Electricity and CHPs'!E42</f>
        <v>2.3832585764725023</v>
      </c>
      <c r="J152" s="1">
        <f>'[1]Electricity and CHPs'!F42</f>
        <v>2.5327667337217505</v>
      </c>
      <c r="K152" s="1">
        <f>'[1]Electricity and CHPs'!G42</f>
        <v>1.62035662214599</v>
      </c>
    </row>
    <row r="153" spans="1:11" x14ac:dyDescent="0.35">
      <c r="A153" s="5" t="str">
        <f t="shared" si="84"/>
        <v>STEM</v>
      </c>
      <c r="B153" s="5" t="str">
        <f t="shared" si="84"/>
        <v>SPS3</v>
      </c>
      <c r="C153" s="5" t="str">
        <f t="shared" si="85"/>
        <v>CH</v>
      </c>
      <c r="D153" t="s">
        <v>69</v>
      </c>
      <c r="E153" t="str">
        <f>E152</f>
        <v>PJ/yr.</v>
      </c>
      <c r="F153" s="1">
        <f>'[1]Electricity and CHPs'!B43</f>
        <v>0</v>
      </c>
      <c r="G153" s="1">
        <f>'[1]Electricity and CHPs'!C43</f>
        <v>0</v>
      </c>
      <c r="H153" s="1">
        <f>'[1]Electricity and CHPs'!D43</f>
        <v>0</v>
      </c>
      <c r="I153" s="1">
        <f>'[1]Electricity and CHPs'!E43</f>
        <v>0</v>
      </c>
      <c r="J153" s="1">
        <f>'[1]Electricity and CHPs'!F43</f>
        <v>0.94520265189997255</v>
      </c>
      <c r="K153" s="1">
        <f>'[1]Electricity and CHPs'!G43</f>
        <v>2.2897062737894243</v>
      </c>
    </row>
    <row r="154" spans="1:11" x14ac:dyDescent="0.35">
      <c r="A154" s="5" t="str">
        <f t="shared" si="84"/>
        <v>STEM</v>
      </c>
      <c r="B154" s="5" t="str">
        <f t="shared" si="84"/>
        <v>SPS3</v>
      </c>
      <c r="C154" s="5" t="str">
        <f t="shared" si="85"/>
        <v>CH</v>
      </c>
      <c r="D154" t="s">
        <v>70</v>
      </c>
      <c r="E154" t="str">
        <f>E90</f>
        <v>PJ/yr.</v>
      </c>
      <c r="F154" s="1">
        <f>'[1]Electricity and CHPs'!B50</f>
        <v>0</v>
      </c>
      <c r="G154" s="1">
        <f>'[1]Electricity and CHPs'!C50</f>
        <v>0</v>
      </c>
      <c r="H154" s="1">
        <f>'[1]Electricity and CHPs'!D50</f>
        <v>0</v>
      </c>
      <c r="I154" s="1">
        <f>'[1]Electricity and CHPs'!E50</f>
        <v>9.7060689256429856E-4</v>
      </c>
      <c r="J154" s="1">
        <f>'[1]Electricity and CHPs'!F50</f>
        <v>6.0904831999213853E-4</v>
      </c>
      <c r="K154" s="1">
        <f>'[1]Electricity and CHPs'!G50</f>
        <v>7.4394968832237581E-4</v>
      </c>
    </row>
    <row r="155" spans="1:11" x14ac:dyDescent="0.35">
      <c r="A155" s="5" t="str">
        <f t="shared" si="84"/>
        <v>STEM</v>
      </c>
      <c r="B155" s="5" t="str">
        <f t="shared" si="84"/>
        <v>SPS3</v>
      </c>
      <c r="C155" s="5" t="str">
        <f t="shared" si="85"/>
        <v>CH</v>
      </c>
      <c r="D155" t="s">
        <v>71</v>
      </c>
      <c r="E155" t="str">
        <f>E92</f>
        <v>PJ/yr.</v>
      </c>
      <c r="F155" s="1">
        <f>'[1]Electricity and CHPs'!B53</f>
        <v>0</v>
      </c>
      <c r="G155" s="1">
        <f>'[1]Electricity and CHPs'!C53</f>
        <v>0</v>
      </c>
      <c r="H155" s="1">
        <f>'[1]Electricity and CHPs'!D53</f>
        <v>0</v>
      </c>
      <c r="I155" s="1">
        <f>'[1]Electricity and CHPs'!E53</f>
        <v>1.4780755243463473E-3</v>
      </c>
      <c r="J155" s="1">
        <f>'[1]Electricity and CHPs'!F53</f>
        <v>8.8540065792126993E-4</v>
      </c>
      <c r="K155" s="1">
        <f>'[1]Electricity and CHPs'!G53</f>
        <v>1.5411136893785156E-3</v>
      </c>
    </row>
    <row r="156" spans="1:11" x14ac:dyDescent="0.35">
      <c r="A156" s="5" t="str">
        <f t="shared" si="84"/>
        <v>STEM</v>
      </c>
      <c r="B156" s="5" t="str">
        <f t="shared" si="84"/>
        <v>SPS3</v>
      </c>
      <c r="C156" s="5" t="str">
        <f t="shared" si="85"/>
        <v>CH</v>
      </c>
      <c r="D156" t="s">
        <v>295</v>
      </c>
      <c r="E156" t="str">
        <f>E94</f>
        <v>PJ/yr.</v>
      </c>
      <c r="F156" s="1">
        <f>'[1]Electricity and CHPs'!B56</f>
        <v>0</v>
      </c>
      <c r="G156" s="1">
        <f>'[1]Electricity and CHPs'!C56</f>
        <v>0</v>
      </c>
      <c r="H156" s="1">
        <f>'[1]Electricity and CHPs'!D56</f>
        <v>0</v>
      </c>
      <c r="I156" s="1">
        <f>'[1]Electricity and CHPs'!E56</f>
        <v>4.8544919505239215E-4</v>
      </c>
      <c r="J156" s="1">
        <f>'[1]Electricity and CHPs'!F56</f>
        <v>2.4517880376781622E-4</v>
      </c>
      <c r="K156" s="1">
        <f>'[1]Electricity and CHPs'!G56</f>
        <v>1.8637775957111846E-3</v>
      </c>
    </row>
    <row r="157" spans="1:11" x14ac:dyDescent="0.35">
      <c r="A157" s="5" t="str">
        <f t="shared" si="84"/>
        <v>STEM</v>
      </c>
      <c r="B157" s="5" t="str">
        <f t="shared" si="84"/>
        <v>SPS3</v>
      </c>
      <c r="C157" s="5" t="str">
        <f t="shared" si="85"/>
        <v>CH</v>
      </c>
      <c r="D157" t="s">
        <v>803</v>
      </c>
      <c r="E157" t="str">
        <f>E95</f>
        <v>PJ/yr.</v>
      </c>
      <c r="F157" s="1">
        <f>F158</f>
        <v>0.52400000000000047</v>
      </c>
      <c r="G157" s="1">
        <f t="shared" ref="G157:K157" si="88">G158</f>
        <v>0.54529209756443131</v>
      </c>
      <c r="H157" s="1">
        <f t="shared" si="88"/>
        <v>0.50316469589798096</v>
      </c>
      <c r="I157" s="1">
        <f t="shared" si="88"/>
        <v>2.0502663602651547</v>
      </c>
      <c r="J157" s="1">
        <f t="shared" si="88"/>
        <v>3.5228363211480631</v>
      </c>
      <c r="K157" s="1">
        <f t="shared" si="88"/>
        <v>6.1200051522369954</v>
      </c>
    </row>
    <row r="158" spans="1:11" x14ac:dyDescent="0.35">
      <c r="A158" s="5" t="str">
        <f t="shared" si="84"/>
        <v>STEM</v>
      </c>
      <c r="B158" s="5" t="str">
        <f t="shared" si="84"/>
        <v>SPS3</v>
      </c>
      <c r="C158" s="5" t="str">
        <f t="shared" si="85"/>
        <v>CH</v>
      </c>
      <c r="D158" t="s">
        <v>72</v>
      </c>
      <c r="E158" t="str">
        <f>E165</f>
        <v>PJ/yr.</v>
      </c>
      <c r="F158" s="1">
        <f>'[1]Electricity and CHPs'!B33</f>
        <v>0.52400000000000047</v>
      </c>
      <c r="G158" s="1">
        <f>'[1]Electricity and CHPs'!C33</f>
        <v>0.54529209756443131</v>
      </c>
      <c r="H158" s="1">
        <f>'[1]Electricity and CHPs'!D33</f>
        <v>0.50316469589798096</v>
      </c>
      <c r="I158" s="1">
        <f>'[1]Electricity and CHPs'!E33</f>
        <v>2.0502663602651547</v>
      </c>
      <c r="J158" s="1">
        <f>'[1]Electricity and CHPs'!F33</f>
        <v>3.5228363211480631</v>
      </c>
      <c r="K158" s="1">
        <f>'[1]Electricity and CHPs'!G33</f>
        <v>6.1200051522369954</v>
      </c>
    </row>
    <row r="159" spans="1:11" x14ac:dyDescent="0.35">
      <c r="A159" s="5" t="str">
        <f t="shared" si="84"/>
        <v>STEM</v>
      </c>
      <c r="B159" s="5" t="str">
        <f t="shared" si="84"/>
        <v>SPS3</v>
      </c>
      <c r="C159" s="5" t="str">
        <f t="shared" si="85"/>
        <v>CH</v>
      </c>
      <c r="D159" t="s">
        <v>804</v>
      </c>
      <c r="E159" t="str">
        <f>E169</f>
        <v>PJ/yr.</v>
      </c>
      <c r="F159" s="1">
        <f>SUM(F160:F164)</f>
        <v>9.3550000000000111</v>
      </c>
      <c r="G159" s="1">
        <f t="shared" ref="G159:K159" si="89">SUM(G160:G164)</f>
        <v>12.822621343882776</v>
      </c>
      <c r="H159" s="1">
        <f t="shared" si="89"/>
        <v>28.800013184271869</v>
      </c>
      <c r="I159" s="1">
        <f t="shared" si="89"/>
        <v>31.170933453771596</v>
      </c>
      <c r="J159" s="1">
        <f t="shared" si="89"/>
        <v>60.660011583967446</v>
      </c>
      <c r="K159" s="1">
        <f t="shared" si="89"/>
        <v>90.0000088373463</v>
      </c>
    </row>
    <row r="160" spans="1:11" x14ac:dyDescent="0.35">
      <c r="A160" s="5" t="str">
        <f t="shared" si="84"/>
        <v>STEM</v>
      </c>
      <c r="B160" s="5" t="str">
        <f t="shared" si="84"/>
        <v>SPS3</v>
      </c>
      <c r="C160" s="5" t="str">
        <f t="shared" si="85"/>
        <v>CH</v>
      </c>
      <c r="D160" t="s">
        <v>73</v>
      </c>
      <c r="E160" t="str">
        <f>E158</f>
        <v>PJ/yr.</v>
      </c>
      <c r="F160" s="1">
        <f>'[1]Electricity and CHPs'!B34</f>
        <v>0</v>
      </c>
      <c r="G160" s="1">
        <f>'[1]Electricity and CHPs'!C34</f>
        <v>0</v>
      </c>
      <c r="H160" s="1">
        <f>'[1]Electricity and CHPs'!D34</f>
        <v>0.14080689302850102</v>
      </c>
      <c r="I160" s="1">
        <f>'[1]Electricity and CHPs'!E34</f>
        <v>0.15585329636757111</v>
      </c>
      <c r="J160" s="1">
        <f>'[1]Electricity and CHPs'!F34</f>
        <v>0.15597322808705263</v>
      </c>
      <c r="K160" s="1">
        <f>'[1]Electricity and CHPs'!G34</f>
        <v>4.6466849075390056E-3</v>
      </c>
    </row>
    <row r="161" spans="1:11" x14ac:dyDescent="0.35">
      <c r="A161" s="5" t="str">
        <f t="shared" si="84"/>
        <v>STEM</v>
      </c>
      <c r="B161" s="5" t="str">
        <f t="shared" si="84"/>
        <v>SPS3</v>
      </c>
      <c r="C161" s="5" t="str">
        <f t="shared" si="85"/>
        <v>CH</v>
      </c>
      <c r="D161" t="s">
        <v>74</v>
      </c>
      <c r="E161" t="str">
        <f>E160</f>
        <v>PJ/yr.</v>
      </c>
      <c r="F161" s="1">
        <f>'[1]Electricity and CHPs'!B35</f>
        <v>3.517953999707534</v>
      </c>
      <c r="G161" s="1">
        <f>'[1]Electricity and CHPs'!C35</f>
        <v>4.8498359217769194</v>
      </c>
      <c r="H161" s="1">
        <f>'[1]Electricity and CHPs'!D35</f>
        <v>11.161630214496073</v>
      </c>
      <c r="I161" s="1">
        <f>'[1]Electricity and CHPs'!E35</f>
        <v>12.110625333412253</v>
      </c>
      <c r="J161" s="1">
        <f>'[1]Electricity and CHPs'!F35</f>
        <v>40.834311249537762</v>
      </c>
      <c r="K161" s="1">
        <f>'[1]Electricity and CHPs'!G35</f>
        <v>64.334036103003498</v>
      </c>
    </row>
    <row r="162" spans="1:11" x14ac:dyDescent="0.35">
      <c r="A162" s="5" t="str">
        <f t="shared" si="84"/>
        <v>STEM</v>
      </c>
      <c r="B162" s="5" t="str">
        <f t="shared" si="84"/>
        <v>SPS3</v>
      </c>
      <c r="C162" s="5" t="str">
        <f t="shared" si="85"/>
        <v>CH</v>
      </c>
      <c r="D162" t="s">
        <v>75</v>
      </c>
      <c r="E162" t="str">
        <f>E161</f>
        <v>PJ/yr.</v>
      </c>
      <c r="F162" s="1">
        <f>'[1]Electricity and CHPs'!B36</f>
        <v>2.1349390887346629</v>
      </c>
      <c r="G162" s="1">
        <f>'[1]Electricity and CHPs'!C36</f>
        <v>3.3907042789842552</v>
      </c>
      <c r="H162" s="1">
        <f>'[1]Electricity and CHPs'!D36</f>
        <v>4.0456848107446861</v>
      </c>
      <c r="I162" s="1">
        <f>'[1]Electricity and CHPs'!E36</f>
        <v>4.3498490911948107</v>
      </c>
      <c r="J162" s="1">
        <f>'[1]Electricity and CHPs'!F36</f>
        <v>1.5546053673584794</v>
      </c>
      <c r="K162" s="1">
        <f>'[1]Electricity and CHPs'!G36</f>
        <v>1.7549015798769052E-2</v>
      </c>
    </row>
    <row r="163" spans="1:11" x14ac:dyDescent="0.35">
      <c r="A163" s="5" t="str">
        <f t="shared" si="84"/>
        <v>STEM</v>
      </c>
      <c r="B163" s="5" t="str">
        <f t="shared" si="84"/>
        <v>SPS3</v>
      </c>
      <c r="C163" s="5" t="str">
        <f t="shared" si="85"/>
        <v>CH</v>
      </c>
      <c r="D163" t="s">
        <v>76</v>
      </c>
      <c r="E163" t="str">
        <f>E162</f>
        <v>PJ/yr.</v>
      </c>
      <c r="F163" s="1">
        <f>'[1]Electricity and CHPs'!B37</f>
        <v>0.86248322578584768</v>
      </c>
      <c r="G163" s="1">
        <f>'[1]Electricity and CHPs'!C37</f>
        <v>1.2876259229214706</v>
      </c>
      <c r="H163" s="1">
        <f>'[1]Electricity and CHPs'!D37</f>
        <v>3.4857293140469885</v>
      </c>
      <c r="I163" s="1">
        <f>'[1]Electricity and CHPs'!E37</f>
        <v>3.8173603702351038</v>
      </c>
      <c r="J163" s="1">
        <f>'[1]Electricity and CHPs'!F37</f>
        <v>4.2168105430355673</v>
      </c>
      <c r="K163" s="1">
        <f>'[1]Electricity and CHPs'!G37</f>
        <v>4.6580656474394679</v>
      </c>
    </row>
    <row r="164" spans="1:11" x14ac:dyDescent="0.35">
      <c r="A164" s="5" t="str">
        <f t="shared" si="84"/>
        <v>STEM</v>
      </c>
      <c r="B164" s="5" t="str">
        <f t="shared" si="84"/>
        <v>SPS3</v>
      </c>
      <c r="C164" s="5" t="str">
        <f t="shared" si="85"/>
        <v>CH</v>
      </c>
      <c r="D164" t="s">
        <v>86</v>
      </c>
      <c r="E164" t="str">
        <f>E163</f>
        <v>PJ/yr.</v>
      </c>
      <c r="F164" s="1">
        <f>'[1]Electricity and CHPs'!B38</f>
        <v>2.8396236857719668</v>
      </c>
      <c r="G164" s="1">
        <f>'[1]Electricity and CHPs'!C38</f>
        <v>3.2944552202001307</v>
      </c>
      <c r="H164" s="1">
        <f>'[1]Electricity and CHPs'!D38</f>
        <v>9.9661619519556197</v>
      </c>
      <c r="I164" s="1">
        <f>'[1]Electricity and CHPs'!E38</f>
        <v>10.737245362561856</v>
      </c>
      <c r="J164" s="1">
        <f>'[1]Electricity and CHPs'!F38</f>
        <v>13.898311195948592</v>
      </c>
      <c r="K164" s="1">
        <f>'[1]Electricity and CHPs'!G38</f>
        <v>20.985711386197028</v>
      </c>
    </row>
    <row r="165" spans="1:11" x14ac:dyDescent="0.35">
      <c r="A165" s="5" t="str">
        <f>A168</f>
        <v>STEM</v>
      </c>
      <c r="B165" s="5" t="str">
        <f t="shared" si="84"/>
        <v>SPS3</v>
      </c>
      <c r="C165" s="5" t="str">
        <f>C168</f>
        <v>CH</v>
      </c>
      <c r="D165" t="s">
        <v>805</v>
      </c>
      <c r="E165" t="str">
        <f>E151</f>
        <v>PJ/yr.</v>
      </c>
      <c r="F165" s="1">
        <f>'[1]Electricity and CHPs'!B32</f>
        <v>0</v>
      </c>
      <c r="G165" s="1">
        <f>'[1]Electricity and CHPs'!C32</f>
        <v>0</v>
      </c>
      <c r="H165" s="1">
        <f>'[1]Electricity and CHPs'!D32</f>
        <v>0</v>
      </c>
      <c r="I165" s="1">
        <f>'[1]Electricity and CHPs'!E32</f>
        <v>0</v>
      </c>
      <c r="J165" s="1">
        <f>'[1]Electricity and CHPs'!F32</f>
        <v>0</v>
      </c>
      <c r="K165" s="1">
        <f>'[1]Electricity and CHPs'!G32</f>
        <v>0</v>
      </c>
    </row>
    <row r="166" spans="1:11" x14ac:dyDescent="0.35">
      <c r="A166" s="5" t="str">
        <f t="shared" ref="A166" si="90">A165</f>
        <v>STEM</v>
      </c>
      <c r="B166" s="5" t="str">
        <f t="shared" si="84"/>
        <v>SPS3</v>
      </c>
      <c r="C166" s="5" t="str">
        <f t="shared" ref="C166" si="91">C165</f>
        <v>CH</v>
      </c>
      <c r="D166" t="s">
        <v>90</v>
      </c>
      <c r="E166" t="str">
        <f>E152</f>
        <v>PJ/yr.</v>
      </c>
      <c r="F166" s="1">
        <f>F165</f>
        <v>0</v>
      </c>
      <c r="G166" s="1">
        <f t="shared" ref="G166:K166" si="92">G165</f>
        <v>0</v>
      </c>
      <c r="H166" s="1">
        <f t="shared" si="92"/>
        <v>0</v>
      </c>
      <c r="I166" s="1">
        <f t="shared" si="92"/>
        <v>0</v>
      </c>
      <c r="J166" s="1">
        <f t="shared" si="92"/>
        <v>0</v>
      </c>
      <c r="K166" s="1">
        <f t="shared" si="92"/>
        <v>0</v>
      </c>
    </row>
    <row r="167" spans="1:11" x14ac:dyDescent="0.35">
      <c r="A167" s="5" t="str">
        <f>A164</f>
        <v>STEM</v>
      </c>
      <c r="B167" s="5" t="str">
        <f t="shared" si="84"/>
        <v>SPS3</v>
      </c>
      <c r="C167" s="5" t="str">
        <f>C164</f>
        <v>CH</v>
      </c>
      <c r="D167" t="s">
        <v>806</v>
      </c>
      <c r="E167" t="str">
        <f>E164</f>
        <v>PJ/yr.</v>
      </c>
      <c r="F167" s="1">
        <f t="shared" ref="F167:K167" si="93">SUM(F168:F170)</f>
        <v>0</v>
      </c>
      <c r="G167" s="1">
        <f t="shared" si="93"/>
        <v>0</v>
      </c>
      <c r="H167" s="1">
        <f t="shared" si="93"/>
        <v>0</v>
      </c>
      <c r="I167" s="1">
        <f t="shared" si="93"/>
        <v>3.5386253340068384E-3</v>
      </c>
      <c r="J167" s="1">
        <f t="shared" si="93"/>
        <v>6.5816144744427823E-3</v>
      </c>
      <c r="K167" s="1">
        <f t="shared" si="93"/>
        <v>3.8602920651054977</v>
      </c>
    </row>
    <row r="168" spans="1:11" x14ac:dyDescent="0.35">
      <c r="A168" s="5" t="str">
        <f t="shared" si="84"/>
        <v>STEM</v>
      </c>
      <c r="B168" s="5" t="str">
        <f t="shared" si="84"/>
        <v>SPS3</v>
      </c>
      <c r="C168" s="5" t="str">
        <f t="shared" si="85"/>
        <v>CH</v>
      </c>
      <c r="D168" t="s">
        <v>77</v>
      </c>
      <c r="E168" t="str">
        <f>E85</f>
        <v>PJ/yr.</v>
      </c>
      <c r="F168" s="1">
        <f>'[1]Electricity and CHPs'!B30</f>
        <v>0</v>
      </c>
      <c r="G168" s="1">
        <f>'[1]Electricity and CHPs'!C30</f>
        <v>0</v>
      </c>
      <c r="H168" s="1">
        <f>'[1]Electricity and CHPs'!D30</f>
        <v>0</v>
      </c>
      <c r="I168" s="1">
        <f>'[1]Electricity and CHPs'!E30</f>
        <v>0</v>
      </c>
      <c r="J168" s="1">
        <f>'[1]Electricity and CHPs'!F30</f>
        <v>9.7967339621026438E-4</v>
      </c>
      <c r="K168" s="1">
        <f>'[1]Electricity and CHPs'!G30</f>
        <v>9.787003945602201E-4</v>
      </c>
    </row>
    <row r="169" spans="1:11" x14ac:dyDescent="0.35">
      <c r="A169" s="5" t="str">
        <f>A165</f>
        <v>STEM</v>
      </c>
      <c r="B169" s="5" t="str">
        <f t="shared" si="84"/>
        <v>SPS3</v>
      </c>
      <c r="C169" s="5" t="str">
        <f>C165</f>
        <v>CH</v>
      </c>
      <c r="D169" t="s">
        <v>78</v>
      </c>
      <c r="E169" t="str">
        <f>E134</f>
        <v>PJ/yr.</v>
      </c>
      <c r="F169" s="1">
        <f>'[1]Electricity and CHPs'!B46</f>
        <v>0</v>
      </c>
      <c r="G169" s="1">
        <f>'[1]Electricity and CHPs'!C46</f>
        <v>0</v>
      </c>
      <c r="H169" s="1">
        <f>'[1]Electricity and CHPs'!D46</f>
        <v>0</v>
      </c>
      <c r="I169" s="1">
        <f>'[1]Electricity and CHPs'!E46</f>
        <v>0</v>
      </c>
      <c r="J169" s="1">
        <f>'[1]Electricity and CHPs'!F46</f>
        <v>4.7632141981560029E-3</v>
      </c>
      <c r="K169" s="1">
        <f>'[1]Electricity and CHPs'!G46</f>
        <v>3.8255254571679922</v>
      </c>
    </row>
    <row r="170" spans="1:11" x14ac:dyDescent="0.35">
      <c r="A170" s="5" t="str">
        <f t="shared" si="84"/>
        <v>STEM</v>
      </c>
      <c r="B170" s="5" t="str">
        <f t="shared" si="84"/>
        <v>SPS3</v>
      </c>
      <c r="C170" s="5" t="str">
        <f t="shared" si="85"/>
        <v>CH</v>
      </c>
      <c r="D170" t="s">
        <v>234</v>
      </c>
      <c r="E170" t="str">
        <f t="shared" ref="E170:E178" si="94">E156</f>
        <v>PJ/yr.</v>
      </c>
      <c r="F170" s="1">
        <f>'[1]Electricity and CHPs'!B57</f>
        <v>0</v>
      </c>
      <c r="G170" s="1">
        <f>'[1]Electricity and CHPs'!C57</f>
        <v>0</v>
      </c>
      <c r="H170" s="1">
        <f>'[1]Electricity and CHPs'!D57</f>
        <v>0</v>
      </c>
      <c r="I170" s="1">
        <f>'[1]Electricity and CHPs'!E57</f>
        <v>3.5386253340068384E-3</v>
      </c>
      <c r="J170" s="1">
        <f>'[1]Electricity and CHPs'!F57</f>
        <v>8.3872688007651452E-4</v>
      </c>
      <c r="K170" s="1">
        <f>'[1]Electricity and CHPs'!G57</f>
        <v>3.3787907542945597E-2</v>
      </c>
    </row>
    <row r="171" spans="1:11" x14ac:dyDescent="0.35">
      <c r="A171" s="5" t="str">
        <f t="shared" si="84"/>
        <v>STEM</v>
      </c>
      <c r="B171" s="5" t="str">
        <f t="shared" si="84"/>
        <v>SPS3</v>
      </c>
      <c r="C171" s="5" t="str">
        <f t="shared" si="85"/>
        <v>CH</v>
      </c>
      <c r="D171" t="s">
        <v>807</v>
      </c>
      <c r="E171" t="str">
        <f t="shared" si="94"/>
        <v>PJ/yr.</v>
      </c>
      <c r="F171" s="1">
        <f>SUM(F172:F178)</f>
        <v>0.12749993389655617</v>
      </c>
      <c r="G171" s="1">
        <f t="shared" ref="G171:K171" si="95">SUM(G172:G178)</f>
        <v>4.0722636652385472E-2</v>
      </c>
      <c r="H171" s="1">
        <f t="shared" si="95"/>
        <v>0.12694393806760967</v>
      </c>
      <c r="I171" s="1">
        <f t="shared" si="95"/>
        <v>0.34506749922762026</v>
      </c>
      <c r="J171" s="1">
        <f t="shared" si="95"/>
        <v>2.5084185787954558E-2</v>
      </c>
      <c r="K171" s="1">
        <f t="shared" si="95"/>
        <v>0.27218984675602159</v>
      </c>
    </row>
    <row r="172" spans="1:11" x14ac:dyDescent="0.35">
      <c r="A172" s="5" t="str">
        <f t="shared" si="84"/>
        <v>STEM</v>
      </c>
      <c r="B172" s="5" t="str">
        <f t="shared" si="84"/>
        <v>SPS3</v>
      </c>
      <c r="C172" s="5" t="str">
        <f t="shared" si="85"/>
        <v>CH</v>
      </c>
      <c r="D172" t="s">
        <v>79</v>
      </c>
      <c r="E172" t="str">
        <f t="shared" si="94"/>
        <v>PJ/yr.</v>
      </c>
      <c r="F172" s="1">
        <f>'[1]Electricity and CHPs'!B70</f>
        <v>9.4659995648324266E-2</v>
      </c>
      <c r="G172" s="1">
        <f>'[1]Electricity and CHPs'!C70</f>
        <v>1.1465330447429145E-2</v>
      </c>
      <c r="H172" s="1">
        <f>'[1]Electricity and CHPs'!D70</f>
        <v>9.4440493731399885E-2</v>
      </c>
      <c r="I172" s="1">
        <f>'[1]Electricity and CHPs'!E70</f>
        <v>9.4498602622760941E-2</v>
      </c>
      <c r="J172" s="1">
        <f>'[1]Electricity and CHPs'!F70</f>
        <v>1.9796879916533379E-4</v>
      </c>
      <c r="K172" s="1">
        <f>'[1]Electricity and CHPs'!G70</f>
        <v>7.2288634889373099E-5</v>
      </c>
    </row>
    <row r="173" spans="1:11" x14ac:dyDescent="0.35">
      <c r="A173" s="5" t="str">
        <f t="shared" si="84"/>
        <v>STEM</v>
      </c>
      <c r="B173" s="5" t="str">
        <f t="shared" si="84"/>
        <v>SPS3</v>
      </c>
      <c r="C173" s="5" t="str">
        <f t="shared" si="85"/>
        <v>CH</v>
      </c>
      <c r="D173" t="s">
        <v>80</v>
      </c>
      <c r="E173" t="str">
        <f t="shared" si="94"/>
        <v>PJ/yr.</v>
      </c>
      <c r="F173" s="1">
        <f>'[1]Electricity and CHPs'!B71</f>
        <v>8.2496245515616667E-3</v>
      </c>
      <c r="G173" s="1">
        <f>'[1]Electricity and CHPs'!C71</f>
        <v>6.7170810476567056E-3</v>
      </c>
      <c r="H173" s="1">
        <f>'[1]Electricity and CHPs'!D71</f>
        <v>8.1543007788441764E-3</v>
      </c>
      <c r="I173" s="1">
        <f>'[1]Electricity and CHPs'!E71</f>
        <v>4.8945173381190355E-3</v>
      </c>
      <c r="J173" s="1">
        <f>'[1]Electricity and CHPs'!F71</f>
        <v>4.8969097659168383E-3</v>
      </c>
      <c r="K173" s="1">
        <f>'[1]Electricity and CHPs'!G71</f>
        <v>3.7882263851059965E-2</v>
      </c>
    </row>
    <row r="174" spans="1:11" x14ac:dyDescent="0.35">
      <c r="A174" s="5" t="str">
        <f t="shared" si="84"/>
        <v>STEM</v>
      </c>
      <c r="B174" s="5" t="str">
        <f t="shared" si="84"/>
        <v>SPS3</v>
      </c>
      <c r="C174" s="5" t="str">
        <f t="shared" si="85"/>
        <v>CH</v>
      </c>
      <c r="D174" t="s">
        <v>81</v>
      </c>
      <c r="E174" t="str">
        <f t="shared" si="94"/>
        <v>PJ/yr.</v>
      </c>
      <c r="F174" s="1">
        <f>'[1]Electricity and CHPs'!B72</f>
        <v>8.406279389629203E-3</v>
      </c>
      <c r="G174" s="1">
        <f>'[1]Electricity and CHPs'!C72</f>
        <v>6.499318455307778E-3</v>
      </c>
      <c r="H174" s="1">
        <f>'[1]Electricity and CHPs'!D72</f>
        <v>8.2160486577868078E-3</v>
      </c>
      <c r="I174" s="1">
        <f>'[1]Electricity and CHPs'!E72</f>
        <v>8.9892032405256735E-3</v>
      </c>
      <c r="J174" s="1">
        <f>'[1]Electricity and CHPs'!F72</f>
        <v>3.0367167908718247E-3</v>
      </c>
      <c r="K174" s="1">
        <f>'[1]Electricity and CHPs'!G72</f>
        <v>9.9488832572385721E-2</v>
      </c>
    </row>
    <row r="175" spans="1:11" x14ac:dyDescent="0.35">
      <c r="A175" s="5" t="str">
        <f t="shared" si="84"/>
        <v>STEM</v>
      </c>
      <c r="B175" s="5" t="str">
        <f t="shared" si="84"/>
        <v>SPS3</v>
      </c>
      <c r="C175" s="5" t="str">
        <f t="shared" si="85"/>
        <v>CH</v>
      </c>
      <c r="D175" t="s">
        <v>82</v>
      </c>
      <c r="E175" t="str">
        <f t="shared" si="94"/>
        <v>PJ/yr.</v>
      </c>
      <c r="F175" s="1">
        <f>'[1]Electricity and CHPs'!B73</f>
        <v>2.6917801845884721E-3</v>
      </c>
      <c r="G175" s="1">
        <f>'[1]Electricity and CHPs'!C73</f>
        <v>2.667697969716751E-3</v>
      </c>
      <c r="H175" s="1">
        <f>'[1]Electricity and CHPs'!D73</f>
        <v>2.6840149106809588E-3</v>
      </c>
      <c r="I175" s="1">
        <f>'[1]Electricity and CHPs'!E73</f>
        <v>4.7297116096214509E-2</v>
      </c>
      <c r="J175" s="1">
        <f>'[1]Electricity and CHPs'!F73</f>
        <v>3.5961326726906052E-3</v>
      </c>
      <c r="K175" s="1">
        <f>'[1]Electricity and CHPs'!G73</f>
        <v>1.3961091859962414E-2</v>
      </c>
    </row>
    <row r="176" spans="1:11" x14ac:dyDescent="0.35">
      <c r="A176" s="5" t="str">
        <f t="shared" si="84"/>
        <v>STEM</v>
      </c>
      <c r="B176" s="5" t="str">
        <f t="shared" si="84"/>
        <v>SPS3</v>
      </c>
      <c r="C176" s="5" t="str">
        <f t="shared" si="85"/>
        <v>CH</v>
      </c>
      <c r="D176" t="s">
        <v>1853</v>
      </c>
      <c r="E176" t="str">
        <f t="shared" si="94"/>
        <v>PJ/yr.</v>
      </c>
      <c r="F176" s="1">
        <f>'[1]Electricity and CHPs'!B74</f>
        <v>5.3960354982248325E-3</v>
      </c>
      <c r="G176" s="1">
        <f>'[1]Electricity and CHPs'!C74</f>
        <v>5.3484684012797207E-3</v>
      </c>
      <c r="H176" s="1">
        <f>'[1]Electricity and CHPs'!D74</f>
        <v>5.3791778248783043E-3</v>
      </c>
      <c r="I176" s="1">
        <f>'[1]Electricity and CHPs'!E74</f>
        <v>7.0643926727311318E-2</v>
      </c>
      <c r="J176" s="1">
        <f>'[1]Electricity and CHPs'!F74</f>
        <v>4.6797899261484619E-3</v>
      </c>
      <c r="K176" s="1">
        <f>'[1]Electricity and CHPs'!G74</f>
        <v>4.5953286885823882E-2</v>
      </c>
    </row>
    <row r="177" spans="1:11" x14ac:dyDescent="0.35">
      <c r="A177" s="5" t="str">
        <f t="shared" si="84"/>
        <v>STEM</v>
      </c>
      <c r="B177" s="5" t="str">
        <f t="shared" si="84"/>
        <v>SPS3</v>
      </c>
      <c r="C177" s="5" t="str">
        <f t="shared" si="85"/>
        <v>CH</v>
      </c>
      <c r="D177" t="s">
        <v>83</v>
      </c>
      <c r="E177" t="str">
        <f t="shared" si="94"/>
        <v>PJ/yr.</v>
      </c>
      <c r="F177" s="1">
        <f>'[1]Electricity and CHPs'!B75</f>
        <v>5.3947401779936219E-3</v>
      </c>
      <c r="G177" s="1">
        <f>'[1]Electricity and CHPs'!C75</f>
        <v>5.3472002640916026E-3</v>
      </c>
      <c r="H177" s="1">
        <f>'[1]Electricity and CHPs'!D75</f>
        <v>5.3761723451008717E-3</v>
      </c>
      <c r="I177" s="1">
        <f>'[1]Electricity and CHPs'!E75</f>
        <v>7.1726625616515188E-2</v>
      </c>
      <c r="J177" s="1">
        <f>'[1]Electricity and CHPs'!F75</f>
        <v>4.9134971177031504E-3</v>
      </c>
      <c r="K177" s="1">
        <f>'[1]Electricity and CHPs'!G75</f>
        <v>4.5966957869840327E-2</v>
      </c>
    </row>
    <row r="178" spans="1:11" x14ac:dyDescent="0.35">
      <c r="A178" s="5" t="str">
        <f t="shared" si="84"/>
        <v>STEM</v>
      </c>
      <c r="B178" s="5" t="str">
        <f t="shared" si="84"/>
        <v>SPS3</v>
      </c>
      <c r="C178" s="5" t="str">
        <f t="shared" si="85"/>
        <v>CH</v>
      </c>
      <c r="D178" t="s">
        <v>87</v>
      </c>
      <c r="E178" t="str">
        <f t="shared" si="94"/>
        <v>PJ/yr.</v>
      </c>
      <c r="F178" s="1">
        <f>'[1]Electricity and CHPs'!B76</f>
        <v>2.7014784462341015E-3</v>
      </c>
      <c r="G178" s="1">
        <f>'[1]Electricity and CHPs'!C76</f>
        <v>2.6775400669037685E-3</v>
      </c>
      <c r="H178" s="1">
        <f>'[1]Electricity and CHPs'!D76</f>
        <v>2.6937298189186778E-3</v>
      </c>
      <c r="I178" s="1">
        <f>'[1]Electricity and CHPs'!E76</f>
        <v>4.7017507586173631E-2</v>
      </c>
      <c r="J178" s="1">
        <f>'[1]Electricity and CHPs'!F76</f>
        <v>3.763170715458342E-3</v>
      </c>
      <c r="K178" s="1">
        <f>'[1]Electricity and CHPs'!G76</f>
        <v>2.8865125082059892E-2</v>
      </c>
    </row>
    <row r="179" spans="1:11" x14ac:dyDescent="0.35">
      <c r="A179" s="9" t="str">
        <f t="shared" si="84"/>
        <v>STEM</v>
      </c>
      <c r="B179" s="9" t="str">
        <f t="shared" si="84"/>
        <v>SPS3</v>
      </c>
      <c r="C179" s="2" t="str">
        <f t="shared" si="85"/>
        <v>CH</v>
      </c>
      <c r="D179" s="2" t="s">
        <v>152</v>
      </c>
      <c r="E179" s="2" t="str">
        <f>E167</f>
        <v>PJ/yr.</v>
      </c>
      <c r="F179" s="3">
        <f>SUM(F180,F231)</f>
        <v>29.627523205208767</v>
      </c>
      <c r="G179" s="3">
        <f t="shared" ref="G179:K179" si="96">SUM(G180,G231)</f>
        <v>32.970294848704853</v>
      </c>
      <c r="H179" s="3">
        <f t="shared" si="96"/>
        <v>31.53554827908415</v>
      </c>
      <c r="I179" s="3">
        <f t="shared" si="96"/>
        <v>44.090880229008484</v>
      </c>
      <c r="J179" s="3">
        <f t="shared" si="96"/>
        <v>44.598196056002166</v>
      </c>
      <c r="K179" s="3">
        <f t="shared" si="96"/>
        <v>45.003831450246899</v>
      </c>
    </row>
    <row r="180" spans="1:11" x14ac:dyDescent="0.35">
      <c r="A180" s="5" t="s">
        <v>5</v>
      </c>
      <c r="B180" s="5" t="str">
        <f t="shared" ref="B180:B243" si="97">B179</f>
        <v>SPS3</v>
      </c>
      <c r="C180" s="5" t="s">
        <v>7</v>
      </c>
      <c r="D180" t="s">
        <v>808</v>
      </c>
      <c r="E180" t="str">
        <f>E168</f>
        <v>PJ/yr.</v>
      </c>
      <c r="F180" s="1">
        <f t="shared" ref="F180:K180" si="98">F181+F208</f>
        <v>23.058163338492015</v>
      </c>
      <c r="G180" s="1">
        <f t="shared" si="98"/>
        <v>25.545197382553638</v>
      </c>
      <c r="H180" s="1">
        <f t="shared" si="98"/>
        <v>23.826379244268985</v>
      </c>
      <c r="I180" s="1">
        <f t="shared" si="98"/>
        <v>29.925294703528433</v>
      </c>
      <c r="J180" s="1">
        <f t="shared" si="98"/>
        <v>29.479244389294148</v>
      </c>
      <c r="K180" s="1">
        <f t="shared" si="98"/>
        <v>29.255765274926851</v>
      </c>
    </row>
    <row r="181" spans="1:11" x14ac:dyDescent="0.35">
      <c r="A181" s="5" t="s">
        <v>5</v>
      </c>
      <c r="B181" s="5" t="str">
        <f t="shared" si="97"/>
        <v>SPS3</v>
      </c>
      <c r="C181" s="5" t="s">
        <v>7</v>
      </c>
      <c r="D181" t="s">
        <v>823</v>
      </c>
      <c r="E181" t="str">
        <f>E165</f>
        <v>PJ/yr.</v>
      </c>
      <c r="F181" s="1">
        <f t="shared" ref="F181:K181" si="99">SUM(F183,F187,F188,F196,F197,F205,F207)</f>
        <v>16.586983670328163</v>
      </c>
      <c r="G181" s="1">
        <f t="shared" si="99"/>
        <v>13.329118074917657</v>
      </c>
      <c r="H181" s="1">
        <f t="shared" si="99"/>
        <v>12.492351230052327</v>
      </c>
      <c r="I181" s="1">
        <f t="shared" si="99"/>
        <v>15.071148254774945</v>
      </c>
      <c r="J181" s="1">
        <f t="shared" si="99"/>
        <v>16.253678958490791</v>
      </c>
      <c r="K181" s="1">
        <f t="shared" si="99"/>
        <v>15.148594829440594</v>
      </c>
    </row>
    <row r="182" spans="1:11" x14ac:dyDescent="0.35">
      <c r="A182" s="5" t="s">
        <v>5</v>
      </c>
      <c r="B182" s="5" t="str">
        <f t="shared" si="97"/>
        <v>SPS3</v>
      </c>
      <c r="C182" s="5" t="s">
        <v>7</v>
      </c>
      <c r="D182" t="s">
        <v>809</v>
      </c>
      <c r="E182" t="s">
        <v>8</v>
      </c>
      <c r="F182" s="1">
        <f>F183</f>
        <v>9.2969208379752727E-3</v>
      </c>
      <c r="G182" s="1">
        <f t="shared" ref="G182:K182" si="100">G183</f>
        <v>5.4114579909864352E-4</v>
      </c>
      <c r="H182" s="1">
        <f t="shared" si="100"/>
        <v>2.7656415206689405E-2</v>
      </c>
      <c r="I182" s="1">
        <f t="shared" si="100"/>
        <v>6.0591361157429579E-4</v>
      </c>
      <c r="J182" s="1">
        <f t="shared" si="100"/>
        <v>5.2378404972789087E-4</v>
      </c>
      <c r="K182" s="1">
        <f t="shared" si="100"/>
        <v>5.3495873022233568E-5</v>
      </c>
    </row>
    <row r="183" spans="1:11" x14ac:dyDescent="0.35">
      <c r="A183" s="5" t="s">
        <v>5</v>
      </c>
      <c r="B183" s="5" t="str">
        <f t="shared" si="97"/>
        <v>SPS3</v>
      </c>
      <c r="C183" s="5" t="s">
        <v>7</v>
      </c>
      <c r="D183" t="s">
        <v>229</v>
      </c>
      <c r="E183" t="s">
        <v>8</v>
      </c>
      <c r="F183" s="1">
        <f>'[1]Electricity and CHPs'!B$94</f>
        <v>9.2969208379752727E-3</v>
      </c>
      <c r="G183" s="1">
        <f>'[1]Electricity and CHPs'!C$94</f>
        <v>5.4114579909864352E-4</v>
      </c>
      <c r="H183" s="1">
        <f>'[1]Electricity and CHPs'!D$94</f>
        <v>2.7656415206689405E-2</v>
      </c>
      <c r="I183" s="1">
        <f>'[1]Electricity and CHPs'!E$94</f>
        <v>6.0591361157429579E-4</v>
      </c>
      <c r="J183" s="1">
        <f>'[1]Electricity and CHPs'!F$94</f>
        <v>5.2378404972789087E-4</v>
      </c>
      <c r="K183" s="1">
        <f>'[1]Electricity and CHPs'!G$94</f>
        <v>5.3495873022233568E-5</v>
      </c>
    </row>
    <row r="184" spans="1:11" x14ac:dyDescent="0.35">
      <c r="A184" s="5" t="s">
        <v>5</v>
      </c>
      <c r="B184" s="5" t="str">
        <f t="shared" si="97"/>
        <v>SPS3</v>
      </c>
      <c r="C184" s="5" t="s">
        <v>7</v>
      </c>
      <c r="D184" t="s">
        <v>517</v>
      </c>
      <c r="E184" t="s">
        <v>8</v>
      </c>
      <c r="F184" s="1">
        <f>F183-F185</f>
        <v>9.2969208379752727E-3</v>
      </c>
      <c r="G184" s="1">
        <f t="shared" ref="G184:K184" si="101">G183-G185</f>
        <v>5.4114579909864352E-4</v>
      </c>
      <c r="H184" s="1">
        <f t="shared" si="101"/>
        <v>2.7656415206689405E-2</v>
      </c>
      <c r="I184" s="1">
        <f t="shared" si="101"/>
        <v>6.0591361157429579E-4</v>
      </c>
      <c r="J184" s="1">
        <f t="shared" si="101"/>
        <v>5.2378404972789087E-4</v>
      </c>
      <c r="K184" s="1">
        <f t="shared" si="101"/>
        <v>5.3495873022233568E-5</v>
      </c>
    </row>
    <row r="185" spans="1:11" x14ac:dyDescent="0.35">
      <c r="A185" s="5" t="s">
        <v>5</v>
      </c>
      <c r="B185" s="5" t="str">
        <f t="shared" si="97"/>
        <v>SPS3</v>
      </c>
      <c r="C185" s="5" t="s">
        <v>7</v>
      </c>
      <c r="D185" t="s">
        <v>541</v>
      </c>
      <c r="E185" t="s">
        <v>8</v>
      </c>
      <c r="F185" s="1">
        <f t="shared" ref="F185:K185" si="102">F183*IFERROR(F78/F74,0)</f>
        <v>0</v>
      </c>
      <c r="G185" s="1">
        <f t="shared" si="102"/>
        <v>0</v>
      </c>
      <c r="H185" s="1">
        <f t="shared" si="102"/>
        <v>0</v>
      </c>
      <c r="I185" s="1">
        <f t="shared" si="102"/>
        <v>0</v>
      </c>
      <c r="J185" s="1">
        <f t="shared" si="102"/>
        <v>0</v>
      </c>
      <c r="K185" s="1">
        <f t="shared" si="102"/>
        <v>0</v>
      </c>
    </row>
    <row r="186" spans="1:11" x14ac:dyDescent="0.35">
      <c r="A186" s="5" t="s">
        <v>5</v>
      </c>
      <c r="B186" s="5" t="str">
        <f t="shared" si="97"/>
        <v>SPS3</v>
      </c>
      <c r="C186" s="5" t="s">
        <v>7</v>
      </c>
      <c r="D186" t="s">
        <v>810</v>
      </c>
      <c r="E186" t="s">
        <v>8</v>
      </c>
      <c r="F186" s="1">
        <f>SUM(F187:F188)</f>
        <v>1.8035641430548299</v>
      </c>
      <c r="G186" s="1">
        <f t="shared" ref="G186:K186" si="103">SUM(G187:G188)</f>
        <v>9.8880185446797238E-4</v>
      </c>
      <c r="H186" s="1">
        <f t="shared" si="103"/>
        <v>3.7945606913230699E-2</v>
      </c>
      <c r="I186" s="1">
        <f t="shared" si="103"/>
        <v>1.2819709486668102E-3</v>
      </c>
      <c r="J186" s="1">
        <f t="shared" si="103"/>
        <v>0.37599533528050755</v>
      </c>
      <c r="K186" s="1">
        <f t="shared" si="103"/>
        <v>2.8260591777654466E-4</v>
      </c>
    </row>
    <row r="187" spans="1:11" x14ac:dyDescent="0.35">
      <c r="A187" s="5" t="s">
        <v>5</v>
      </c>
      <c r="B187" s="5" t="str">
        <f t="shared" si="97"/>
        <v>SPS3</v>
      </c>
      <c r="C187" s="5" t="s">
        <v>7</v>
      </c>
      <c r="D187" t="s">
        <v>153</v>
      </c>
      <c r="E187" t="s">
        <v>8</v>
      </c>
      <c r="F187" s="1">
        <f>'[1]Electricity and CHPs'!B$91</f>
        <v>1.8035641430548299</v>
      </c>
      <c r="G187" s="1">
        <f>'[1]Electricity and CHPs'!C$91</f>
        <v>9.8880185446797238E-4</v>
      </c>
      <c r="H187" s="1">
        <f>'[1]Electricity and CHPs'!D$91</f>
        <v>3.7945606913230699E-2</v>
      </c>
      <c r="I187" s="1">
        <f>'[1]Electricity and CHPs'!E$91</f>
        <v>1.2819709486668102E-3</v>
      </c>
      <c r="J187" s="1">
        <f>'[1]Electricity and CHPs'!F$91</f>
        <v>1.3167435966335221E-3</v>
      </c>
      <c r="K187" s="1">
        <f>'[1]Electricity and CHPs'!G$91</f>
        <v>1.1695427182190813E-4</v>
      </c>
    </row>
    <row r="188" spans="1:11" x14ac:dyDescent="0.35">
      <c r="A188" s="5" t="s">
        <v>5</v>
      </c>
      <c r="B188" s="5" t="str">
        <f t="shared" si="97"/>
        <v>SPS3</v>
      </c>
      <c r="C188" s="5" t="s">
        <v>7</v>
      </c>
      <c r="D188" t="s">
        <v>154</v>
      </c>
      <c r="E188" t="s">
        <v>8</v>
      </c>
      <c r="F188" s="1">
        <f>'[1]Electricity and CHPs'!B$95</f>
        <v>0</v>
      </c>
      <c r="G188" s="1">
        <f>'[1]Electricity and CHPs'!C$95</f>
        <v>0</v>
      </c>
      <c r="H188" s="1">
        <f>'[1]Electricity and CHPs'!D$95</f>
        <v>0</v>
      </c>
      <c r="I188" s="1">
        <f>'[1]Electricity and CHPs'!E$95</f>
        <v>0</v>
      </c>
      <c r="J188" s="1">
        <f>'[1]Electricity and CHPs'!F$95</f>
        <v>0.37467859168387402</v>
      </c>
      <c r="K188" s="1">
        <f>'[1]Electricity and CHPs'!G$95</f>
        <v>1.6565164595463652E-4</v>
      </c>
    </row>
    <row r="189" spans="1:11" x14ac:dyDescent="0.35">
      <c r="A189" s="5"/>
      <c r="B189" s="5" t="str">
        <f t="shared" si="97"/>
        <v>SPS3</v>
      </c>
      <c r="C189" s="5" t="str">
        <f>C188</f>
        <v>CH</v>
      </c>
      <c r="D189" t="s">
        <v>811</v>
      </c>
      <c r="E189" t="s">
        <v>8</v>
      </c>
      <c r="F189" s="1">
        <f>SUM(F190:F191)</f>
        <v>1.7568159719572563</v>
      </c>
      <c r="G189" s="1">
        <f t="shared" ref="G189:K189" si="104">SUM(G190:G191)</f>
        <v>9.6919263967256601E-4</v>
      </c>
      <c r="H189" s="1">
        <f t="shared" si="104"/>
        <v>3.7754012258210089E-2</v>
      </c>
      <c r="I189" s="1">
        <f t="shared" si="104"/>
        <v>1.1494963716649825E-3</v>
      </c>
      <c r="J189" s="1">
        <f t="shared" si="104"/>
        <v>0.25258281288165385</v>
      </c>
      <c r="K189" s="1">
        <f t="shared" si="104"/>
        <v>3.855379368822309E-8</v>
      </c>
    </row>
    <row r="190" spans="1:11" x14ac:dyDescent="0.35">
      <c r="A190" s="5" t="s">
        <v>5</v>
      </c>
      <c r="B190" s="5" t="str">
        <f t="shared" si="97"/>
        <v>SPS3</v>
      </c>
      <c r="C190" s="5" t="s">
        <v>7</v>
      </c>
      <c r="D190" t="s">
        <v>567</v>
      </c>
      <c r="E190" t="s">
        <v>8</v>
      </c>
      <c r="F190" s="1">
        <f>F187-F193</f>
        <v>1.7568159719572563</v>
      </c>
      <c r="G190" s="1">
        <f t="shared" ref="G190:K190" si="105">G187-G193</f>
        <v>9.6919263967256601E-4</v>
      </c>
      <c r="H190" s="1">
        <f t="shared" si="105"/>
        <v>3.7754012258210089E-2</v>
      </c>
      <c r="I190" s="1">
        <f t="shared" si="105"/>
        <v>1.1494963716649825E-3</v>
      </c>
      <c r="J190" s="1">
        <f t="shared" si="105"/>
        <v>8.845503395234352E-4</v>
      </c>
      <c r="K190" s="1">
        <f t="shared" si="105"/>
        <v>1.5955189127859104E-8</v>
      </c>
    </row>
    <row r="191" spans="1:11" x14ac:dyDescent="0.35">
      <c r="A191" s="5" t="s">
        <v>5</v>
      </c>
      <c r="B191" s="5" t="str">
        <f t="shared" si="97"/>
        <v>SPS3</v>
      </c>
      <c r="C191" s="5" t="s">
        <v>7</v>
      </c>
      <c r="D191" t="s">
        <v>568</v>
      </c>
      <c r="E191" t="s">
        <v>8</v>
      </c>
      <c r="F191" s="1">
        <f t="shared" ref="F191:K191" si="106">F188-F194</f>
        <v>0</v>
      </c>
      <c r="G191" s="1">
        <f t="shared" si="106"/>
        <v>0</v>
      </c>
      <c r="H191" s="1">
        <f t="shared" si="106"/>
        <v>0</v>
      </c>
      <c r="I191" s="1">
        <f t="shared" si="106"/>
        <v>0</v>
      </c>
      <c r="J191" s="1">
        <f t="shared" si="106"/>
        <v>0.2516982625421304</v>
      </c>
      <c r="K191" s="1">
        <f t="shared" si="106"/>
        <v>2.2598604560363986E-8</v>
      </c>
    </row>
    <row r="192" spans="1:11" x14ac:dyDescent="0.35">
      <c r="A192" s="5"/>
      <c r="B192" s="5" t="str">
        <f t="shared" si="97"/>
        <v>SPS3</v>
      </c>
      <c r="C192" s="5" t="s">
        <v>7</v>
      </c>
      <c r="D192" t="s">
        <v>812</v>
      </c>
      <c r="E192" t="s">
        <v>8</v>
      </c>
      <c r="F192" s="1">
        <f>SUM(F193:F194)</f>
        <v>4.67481710975736E-2</v>
      </c>
      <c r="G192" s="1">
        <f t="shared" ref="G192:K192" si="107">SUM(G193:G194)</f>
        <v>1.9609214795406357E-5</v>
      </c>
      <c r="H192" s="1">
        <f t="shared" si="107"/>
        <v>1.9159465502061125E-4</v>
      </c>
      <c r="I192" s="1">
        <f t="shared" si="107"/>
        <v>1.324745770018276E-4</v>
      </c>
      <c r="J192" s="1">
        <f t="shared" si="107"/>
        <v>0.1234125223988537</v>
      </c>
      <c r="K192" s="1">
        <f t="shared" si="107"/>
        <v>2.8256736398285639E-4</v>
      </c>
    </row>
    <row r="193" spans="1:11" x14ac:dyDescent="0.35">
      <c r="A193" s="5" t="s">
        <v>5</v>
      </c>
      <c r="B193" s="5" t="str">
        <f t="shared" si="97"/>
        <v>SPS3</v>
      </c>
      <c r="C193" s="5" t="s">
        <v>7</v>
      </c>
      <c r="D193" t="s">
        <v>628</v>
      </c>
      <c r="E193" t="s">
        <v>8</v>
      </c>
      <c r="F193" s="1">
        <f t="shared" ref="F193:K194" si="108">F187*IFERROR(F116/F84,0)</f>
        <v>4.67481710975736E-2</v>
      </c>
      <c r="G193" s="1">
        <f t="shared" si="108"/>
        <v>1.9609214795406357E-5</v>
      </c>
      <c r="H193" s="1">
        <f t="shared" si="108"/>
        <v>1.9159465502061125E-4</v>
      </c>
      <c r="I193" s="1">
        <f t="shared" si="108"/>
        <v>1.324745770018276E-4</v>
      </c>
      <c r="J193" s="1">
        <f t="shared" si="108"/>
        <v>4.3219325711008695E-4</v>
      </c>
      <c r="K193" s="1">
        <f t="shared" si="108"/>
        <v>1.1693831663278027E-4</v>
      </c>
    </row>
    <row r="194" spans="1:11" x14ac:dyDescent="0.35">
      <c r="A194" s="5" t="s">
        <v>5</v>
      </c>
      <c r="B194" s="5" t="str">
        <f t="shared" si="97"/>
        <v>SPS3</v>
      </c>
      <c r="C194" s="5" t="s">
        <v>7</v>
      </c>
      <c r="D194" t="s">
        <v>629</v>
      </c>
      <c r="E194" t="s">
        <v>8</v>
      </c>
      <c r="F194" s="1">
        <f t="shared" si="108"/>
        <v>0</v>
      </c>
      <c r="G194" s="1">
        <f t="shared" si="108"/>
        <v>0</v>
      </c>
      <c r="H194" s="1">
        <f t="shared" si="108"/>
        <v>0</v>
      </c>
      <c r="I194" s="1">
        <f t="shared" si="108"/>
        <v>0</v>
      </c>
      <c r="J194" s="1">
        <f t="shared" si="108"/>
        <v>0.12298032914174362</v>
      </c>
      <c r="K194" s="1">
        <f t="shared" si="108"/>
        <v>1.6562904735007615E-4</v>
      </c>
    </row>
    <row r="195" spans="1:11" x14ac:dyDescent="0.35">
      <c r="A195" s="5" t="s">
        <v>5</v>
      </c>
      <c r="B195" s="5" t="str">
        <f t="shared" si="97"/>
        <v>SPS3</v>
      </c>
      <c r="C195" s="5" t="s">
        <v>7</v>
      </c>
      <c r="D195" t="s">
        <v>813</v>
      </c>
      <c r="E195" t="s">
        <v>8</v>
      </c>
      <c r="F195" s="1">
        <f>SUM(F196:F197)</f>
        <v>14.461287862316796</v>
      </c>
      <c r="G195" s="1">
        <f t="shared" ref="G195:K195" si="109">SUM(G196:G197)</f>
        <v>13.051657193241693</v>
      </c>
      <c r="H195" s="1">
        <f t="shared" si="109"/>
        <v>12.148078391774819</v>
      </c>
      <c r="I195" s="1">
        <f t="shared" si="109"/>
        <v>12.779646053112169</v>
      </c>
      <c r="J195" s="1">
        <f t="shared" si="109"/>
        <v>12.155204759872692</v>
      </c>
      <c r="K195" s="1">
        <f t="shared" si="109"/>
        <v>10.865316470548692</v>
      </c>
    </row>
    <row r="196" spans="1:11" x14ac:dyDescent="0.35">
      <c r="A196" s="5" t="s">
        <v>5</v>
      </c>
      <c r="B196" s="5" t="str">
        <f t="shared" si="97"/>
        <v>SPS3</v>
      </c>
      <c r="C196" s="5" t="s">
        <v>7</v>
      </c>
      <c r="D196" t="s">
        <v>155</v>
      </c>
      <c r="E196" t="s">
        <v>8</v>
      </c>
      <c r="F196" s="1">
        <f>'[1]Electricity and CHPs'!B$93-F197</f>
        <v>14.461287862316796</v>
      </c>
      <c r="G196" s="1">
        <f>'[1]Electricity and CHPs'!C$93-G197</f>
        <v>13.051657193241693</v>
      </c>
      <c r="H196" s="1">
        <f>'[1]Electricity and CHPs'!D$93-H197</f>
        <v>12.148078391774819</v>
      </c>
      <c r="I196" s="1">
        <f>'[1]Electricity and CHPs'!E$93-I197</f>
        <v>12.779646053112169</v>
      </c>
      <c r="J196" s="1">
        <f>'[1]Electricity and CHPs'!F$93-J197</f>
        <v>12.154766253962116</v>
      </c>
      <c r="K196" s="1">
        <f>'[1]Electricity and CHPs'!G$93-K197</f>
        <v>4.4961220123487822</v>
      </c>
    </row>
    <row r="197" spans="1:11" x14ac:dyDescent="0.35">
      <c r="A197" s="5" t="s">
        <v>5</v>
      </c>
      <c r="B197" s="5" t="str">
        <f t="shared" si="97"/>
        <v>SPS3</v>
      </c>
      <c r="C197" s="5" t="s">
        <v>7</v>
      </c>
      <c r="D197" t="s">
        <v>156</v>
      </c>
      <c r="E197" t="s">
        <v>8</v>
      </c>
      <c r="F197" s="1" cm="1">
        <f t="array" ref="F197">SUMPRODUCT(("CHPWSTCCS"=[1]OUT_Electricity_CHP!$B$1:$B$10000)*1,([1]OUT_Electricity_CHP!$C$1:$C$10000="Var_Fout")*1,([1]OUT_Electricity_CHP!$D$1:$D$10000="LTH")*1,[1]OUT_Electricity_CHP!E$1:E$10000)</f>
        <v>0</v>
      </c>
      <c r="G197" s="1" cm="1">
        <f t="array" ref="G197">SUMPRODUCT(("CHPWSTCCS"=[1]OUT_Electricity_CHP!$B$1:$B$10000)*1,([1]OUT_Electricity_CHP!$C$1:$C$10000="Var_Fout")*1,([1]OUT_Electricity_CHP!$D$1:$D$10000="LTH")*1,[1]OUT_Electricity_CHP!F$1:F$10000)</f>
        <v>0</v>
      </c>
      <c r="H197" s="1" cm="1">
        <f t="array" ref="H197">SUMPRODUCT(("CHPWSTCCS"=[1]OUT_Electricity_CHP!$B$1:$B$10000)*1,([1]OUT_Electricity_CHP!$C$1:$C$10000="Var_Fout")*1,([1]OUT_Electricity_CHP!$D$1:$D$10000="LTH")*1,[1]OUT_Electricity_CHP!G$1:G$10000)</f>
        <v>0</v>
      </c>
      <c r="I197" s="1" cm="1">
        <f t="array" ref="I197">SUMPRODUCT(("CHPWSTCCS"=[1]OUT_Electricity_CHP!$B$1:$B$10000)*1,([1]OUT_Electricity_CHP!$C$1:$C$10000="Var_Fout")*1,([1]OUT_Electricity_CHP!$D$1:$D$10000="LTH")*1,[1]OUT_Electricity_CHP!H$1:H$10000)</f>
        <v>0</v>
      </c>
      <c r="J197" s="1" cm="1">
        <f t="array" ref="J197">SUMPRODUCT(("CHPWSTCCS"=[1]OUT_Electricity_CHP!$B$1:$B$10000)*1,([1]OUT_Electricity_CHP!$C$1:$C$10000="Var_Fout")*1,([1]OUT_Electricity_CHP!$D$1:$D$10000="LTH")*1,[1]OUT_Electricity_CHP!I$1:I$10000)</f>
        <v>4.3850591057669158E-4</v>
      </c>
      <c r="K197" s="1" cm="1">
        <f t="array" ref="K197">SUMPRODUCT(("CHPWSTCCS"=[1]OUT_Electricity_CHP!$B$1:$B$10000)*1,([1]OUT_Electricity_CHP!$C$1:$C$10000="Var_Fout")*1,([1]OUT_Electricity_CHP!$D$1:$D$10000="LTH")*1,[1]OUT_Electricity_CHP!J$1:J$10000)</f>
        <v>6.3691944581999094</v>
      </c>
    </row>
    <row r="198" spans="1:11" x14ac:dyDescent="0.35">
      <c r="A198" s="5" t="s">
        <v>5</v>
      </c>
      <c r="B198" s="5" t="str">
        <f t="shared" si="97"/>
        <v>SPS3</v>
      </c>
      <c r="C198" s="5" t="s">
        <v>7</v>
      </c>
      <c r="D198" t="s">
        <v>814</v>
      </c>
      <c r="E198" t="s">
        <v>8</v>
      </c>
      <c r="F198" s="1">
        <f>SUM(F199:F200)</f>
        <v>7.2306439311583981</v>
      </c>
      <c r="G198" s="1">
        <f t="shared" ref="G198:K198" si="110">SUM(G199:G200)</f>
        <v>6.5258285966208476</v>
      </c>
      <c r="H198" s="1">
        <f t="shared" si="110"/>
        <v>6.0740391958874094</v>
      </c>
      <c r="I198" s="1">
        <f t="shared" si="110"/>
        <v>6.3898230265560851</v>
      </c>
      <c r="J198" s="1">
        <f t="shared" si="110"/>
        <v>6.0776023799363461</v>
      </c>
      <c r="K198" s="1">
        <f t="shared" si="110"/>
        <v>5.4326582352743458</v>
      </c>
    </row>
    <row r="199" spans="1:11" x14ac:dyDescent="0.35">
      <c r="A199" s="5" t="s">
        <v>5</v>
      </c>
      <c r="B199" s="5" t="str">
        <f t="shared" si="97"/>
        <v>SPS3</v>
      </c>
      <c r="C199" s="5" t="s">
        <v>7</v>
      </c>
      <c r="D199" t="s">
        <v>157</v>
      </c>
      <c r="E199" t="s">
        <v>8</v>
      </c>
      <c r="F199" s="1">
        <f t="shared" ref="F199:K199" si="111">F196*F138/F131</f>
        <v>7.2306439311583981</v>
      </c>
      <c r="G199" s="1">
        <f t="shared" si="111"/>
        <v>6.5258285966208476</v>
      </c>
      <c r="H199" s="1">
        <f t="shared" si="111"/>
        <v>6.0740391958874094</v>
      </c>
      <c r="I199" s="1">
        <f t="shared" si="111"/>
        <v>6.3898230265560851</v>
      </c>
      <c r="J199" s="1">
        <f t="shared" si="111"/>
        <v>6.0773831269810579</v>
      </c>
      <c r="K199" s="1">
        <f t="shared" si="111"/>
        <v>2.2480610061743911</v>
      </c>
    </row>
    <row r="200" spans="1:11" x14ac:dyDescent="0.35">
      <c r="A200" s="5" t="s">
        <v>5</v>
      </c>
      <c r="B200" s="5" t="str">
        <f t="shared" si="97"/>
        <v>SPS3</v>
      </c>
      <c r="C200" s="5" t="s">
        <v>7</v>
      </c>
      <c r="D200" t="s">
        <v>158</v>
      </c>
      <c r="E200" t="s">
        <v>8</v>
      </c>
      <c r="F200" s="1">
        <f t="shared" ref="F200:K200" si="112">F197*IFERROR(F139/F132,0)</f>
        <v>0</v>
      </c>
      <c r="G200" s="1">
        <f t="shared" si="112"/>
        <v>0</v>
      </c>
      <c r="H200" s="1">
        <f t="shared" si="112"/>
        <v>0</v>
      </c>
      <c r="I200" s="1">
        <f t="shared" si="112"/>
        <v>0</v>
      </c>
      <c r="J200" s="1">
        <f t="shared" si="112"/>
        <v>2.1925295528834579E-4</v>
      </c>
      <c r="K200" s="1">
        <f t="shared" si="112"/>
        <v>3.1845972290999547</v>
      </c>
    </row>
    <row r="201" spans="1:11" x14ac:dyDescent="0.35">
      <c r="A201" s="5" t="s">
        <v>5</v>
      </c>
      <c r="B201" s="5" t="str">
        <f t="shared" si="97"/>
        <v>SPS3</v>
      </c>
      <c r="C201" s="5" t="s">
        <v>7</v>
      </c>
      <c r="D201" t="s">
        <v>815</v>
      </c>
      <c r="E201" t="s">
        <v>8</v>
      </c>
      <c r="F201" s="1">
        <f>SUM(F202:F203)</f>
        <v>7.2306439311583981</v>
      </c>
      <c r="G201" s="1">
        <f t="shared" ref="G201:K201" si="113">SUM(G202:G203)</f>
        <v>6.5258285966208458</v>
      </c>
      <c r="H201" s="1">
        <f t="shared" si="113"/>
        <v>6.0740391958874094</v>
      </c>
      <c r="I201" s="1">
        <f t="shared" si="113"/>
        <v>6.3898230265560834</v>
      </c>
      <c r="J201" s="1">
        <f t="shared" si="113"/>
        <v>6.0776023799363461</v>
      </c>
      <c r="K201" s="1">
        <f t="shared" si="113"/>
        <v>5.4326582352743458</v>
      </c>
    </row>
    <row r="202" spans="1:11" x14ac:dyDescent="0.35">
      <c r="A202" s="5" t="s">
        <v>5</v>
      </c>
      <c r="B202" s="5" t="str">
        <f t="shared" si="97"/>
        <v>SPS3</v>
      </c>
      <c r="C202" s="5" t="s">
        <v>7</v>
      </c>
      <c r="D202" t="s">
        <v>159</v>
      </c>
      <c r="E202" t="s">
        <v>8</v>
      </c>
      <c r="F202" s="1">
        <f t="shared" ref="F202:K203" si="114">F196-F199</f>
        <v>7.2306439311583981</v>
      </c>
      <c r="G202" s="1">
        <f t="shared" si="114"/>
        <v>6.5258285966208458</v>
      </c>
      <c r="H202" s="1">
        <f t="shared" si="114"/>
        <v>6.0740391958874094</v>
      </c>
      <c r="I202" s="1">
        <f t="shared" si="114"/>
        <v>6.3898230265560834</v>
      </c>
      <c r="J202" s="1">
        <f t="shared" si="114"/>
        <v>6.0773831269810579</v>
      </c>
      <c r="K202" s="1">
        <f t="shared" si="114"/>
        <v>2.2480610061743911</v>
      </c>
    </row>
    <row r="203" spans="1:11" x14ac:dyDescent="0.35">
      <c r="A203" s="5" t="s">
        <v>5</v>
      </c>
      <c r="B203" s="5" t="str">
        <f t="shared" si="97"/>
        <v>SPS3</v>
      </c>
      <c r="C203" s="5" t="s">
        <v>7</v>
      </c>
      <c r="D203" t="s">
        <v>160</v>
      </c>
      <c r="E203" t="s">
        <v>8</v>
      </c>
      <c r="F203" s="1">
        <f t="shared" si="114"/>
        <v>0</v>
      </c>
      <c r="G203" s="1">
        <f t="shared" si="114"/>
        <v>0</v>
      </c>
      <c r="H203" s="1">
        <f t="shared" si="114"/>
        <v>0</v>
      </c>
      <c r="I203" s="1">
        <f t="shared" si="114"/>
        <v>0</v>
      </c>
      <c r="J203" s="1">
        <f t="shared" si="114"/>
        <v>2.1925295528834579E-4</v>
      </c>
      <c r="K203" s="1">
        <f t="shared" si="114"/>
        <v>3.1845972290999547</v>
      </c>
    </row>
    <row r="204" spans="1:11" x14ac:dyDescent="0.35">
      <c r="A204" s="5" t="s">
        <v>5</v>
      </c>
      <c r="B204" s="5" t="str">
        <f t="shared" si="97"/>
        <v>SPS3</v>
      </c>
      <c r="C204" s="5" t="s">
        <v>7</v>
      </c>
      <c r="D204" t="s">
        <v>816</v>
      </c>
      <c r="E204" t="s">
        <v>8</v>
      </c>
      <c r="F204" s="1">
        <f>F205</f>
        <v>0.31283474411856238</v>
      </c>
      <c r="G204" s="1">
        <f t="shared" ref="G204:K204" si="115">G205</f>
        <v>0.27593093402239793</v>
      </c>
      <c r="H204" s="1">
        <f t="shared" si="115"/>
        <v>0.27867081615758804</v>
      </c>
      <c r="I204" s="1">
        <f t="shared" si="115"/>
        <v>2.2896143171025343</v>
      </c>
      <c r="J204" s="1">
        <f t="shared" si="115"/>
        <v>3.7207654758781796</v>
      </c>
      <c r="K204" s="1">
        <f t="shared" si="115"/>
        <v>4.2817072304127288</v>
      </c>
    </row>
    <row r="205" spans="1:11" x14ac:dyDescent="0.35">
      <c r="A205" s="5" t="s">
        <v>5</v>
      </c>
      <c r="B205" s="5" t="str">
        <f t="shared" si="97"/>
        <v>SPS3</v>
      </c>
      <c r="C205" s="5" t="s">
        <v>7</v>
      </c>
      <c r="D205" t="s">
        <v>161</v>
      </c>
      <c r="E205" t="s">
        <v>8</v>
      </c>
      <c r="F205" s="1">
        <f>'[1]Electricity and CHPs'!B$92</f>
        <v>0.31283474411856238</v>
      </c>
      <c r="G205" s="1">
        <f>'[1]Electricity and CHPs'!C$92</f>
        <v>0.27593093402239793</v>
      </c>
      <c r="H205" s="1">
        <f>'[1]Electricity and CHPs'!D$92</f>
        <v>0.27867081615758804</v>
      </c>
      <c r="I205" s="1">
        <f>'[1]Electricity and CHPs'!E$92</f>
        <v>2.2896143171025343</v>
      </c>
      <c r="J205" s="1">
        <f>'[1]Electricity and CHPs'!F$92</f>
        <v>3.7207654758781796</v>
      </c>
      <c r="K205" s="1">
        <f>'[1]Electricity and CHPs'!G$92</f>
        <v>4.2817072304127288</v>
      </c>
    </row>
    <row r="206" spans="1:11" x14ac:dyDescent="0.35">
      <c r="A206" s="5" t="s">
        <v>5</v>
      </c>
      <c r="B206" s="5" t="str">
        <f t="shared" si="97"/>
        <v>SPS3</v>
      </c>
      <c r="C206" s="5" t="s">
        <v>7</v>
      </c>
      <c r="D206" t="s">
        <v>817</v>
      </c>
      <c r="E206" t="s">
        <v>8</v>
      </c>
      <c r="F206" s="1">
        <f>+F207</f>
        <v>0</v>
      </c>
      <c r="G206" s="1">
        <f t="shared" ref="G206:K206" si="116">+G207</f>
        <v>0</v>
      </c>
      <c r="H206" s="1">
        <f t="shared" si="116"/>
        <v>0</v>
      </c>
      <c r="I206" s="1">
        <f t="shared" si="116"/>
        <v>0</v>
      </c>
      <c r="J206" s="1">
        <f t="shared" si="116"/>
        <v>1.1896034096838888E-3</v>
      </c>
      <c r="K206" s="1">
        <f t="shared" si="116"/>
        <v>1.2350266883736089E-3</v>
      </c>
    </row>
    <row r="207" spans="1:11" x14ac:dyDescent="0.35">
      <c r="A207" s="5" t="s">
        <v>5</v>
      </c>
      <c r="B207" s="5" t="str">
        <f t="shared" si="97"/>
        <v>SPS3</v>
      </c>
      <c r="C207" s="5" t="s">
        <v>7</v>
      </c>
      <c r="D207" t="s">
        <v>162</v>
      </c>
      <c r="E207" t="s">
        <v>8</v>
      </c>
      <c r="F207" s="1">
        <f>'[1]Electricity and CHPs'!B$96</f>
        <v>0</v>
      </c>
      <c r="G207" s="1">
        <f>'[1]Electricity and CHPs'!C$96</f>
        <v>0</v>
      </c>
      <c r="H207" s="1">
        <f>'[1]Electricity and CHPs'!D$96</f>
        <v>0</v>
      </c>
      <c r="I207" s="1">
        <f>'[1]Electricity and CHPs'!E$96</f>
        <v>0</v>
      </c>
      <c r="J207" s="1">
        <f>'[1]Electricity and CHPs'!F$96</f>
        <v>1.1896034096838888E-3</v>
      </c>
      <c r="K207" s="1">
        <f>'[1]Electricity and CHPs'!G$96</f>
        <v>1.2350266883736089E-3</v>
      </c>
    </row>
    <row r="208" spans="1:11" x14ac:dyDescent="0.35">
      <c r="A208" s="5" t="s">
        <v>5</v>
      </c>
      <c r="B208" s="5" t="str">
        <f t="shared" si="97"/>
        <v>SPS3</v>
      </c>
      <c r="C208" s="5" t="s">
        <v>7</v>
      </c>
      <c r="D208" t="s">
        <v>818</v>
      </c>
      <c r="E208" t="str">
        <f>E165</f>
        <v>PJ/yr.</v>
      </c>
      <c r="F208" s="1">
        <f>SUM(F209,F215,F217,F223,F225,F227,F229)</f>
        <v>6.4711796681638507</v>
      </c>
      <c r="G208" s="1">
        <f t="shared" ref="G208:K208" si="117">SUM(G209,G215,G217,G223,G225,G227,G229)</f>
        <v>12.216079307635979</v>
      </c>
      <c r="H208" s="1">
        <f t="shared" si="117"/>
        <v>11.334028014216656</v>
      </c>
      <c r="I208" s="1">
        <f t="shared" si="117"/>
        <v>14.854146448753488</v>
      </c>
      <c r="J208" s="1">
        <f t="shared" si="117"/>
        <v>13.225565430803357</v>
      </c>
      <c r="K208" s="1">
        <f t="shared" si="117"/>
        <v>14.107170445486258</v>
      </c>
    </row>
    <row r="209" spans="1:11" x14ac:dyDescent="0.35">
      <c r="A209" s="5" t="s">
        <v>5</v>
      </c>
      <c r="B209" s="5" t="str">
        <f t="shared" si="97"/>
        <v>SPS3</v>
      </c>
      <c r="C209" s="5" t="s">
        <v>7</v>
      </c>
      <c r="D209" t="s">
        <v>819</v>
      </c>
      <c r="E209" t="str">
        <f>E168</f>
        <v>PJ/yr.</v>
      </c>
      <c r="F209" s="1">
        <f>+F210</f>
        <v>2.6347483197720623</v>
      </c>
      <c r="G209" s="1">
        <f t="shared" ref="G209:K209" si="118">+G210</f>
        <v>3.258730206426669</v>
      </c>
      <c r="H209" s="1">
        <f t="shared" si="118"/>
        <v>3.2542356087345947</v>
      </c>
      <c r="I209" s="1">
        <f t="shared" si="118"/>
        <v>6.7409915815898795</v>
      </c>
      <c r="J209" s="1">
        <f t="shared" si="118"/>
        <v>3.3030272890800063</v>
      </c>
      <c r="K209" s="1">
        <f t="shared" si="118"/>
        <v>1.2462585280253737</v>
      </c>
    </row>
    <row r="210" spans="1:11" x14ac:dyDescent="0.35">
      <c r="A210" s="5" t="s">
        <v>5</v>
      </c>
      <c r="B210" s="5" t="str">
        <f t="shared" si="97"/>
        <v>SPS3</v>
      </c>
      <c r="C210" s="5" t="s">
        <v>7</v>
      </c>
      <c r="D210" t="s">
        <v>163</v>
      </c>
      <c r="E210" t="str">
        <f>E169</f>
        <v>PJ/yr.</v>
      </c>
      <c r="F210" s="1">
        <f>'[1]Electricity and CHPs'!B$97+F214</f>
        <v>2.6347483197720623</v>
      </c>
      <c r="G210" s="1">
        <f>'[1]Electricity and CHPs'!C$97+G214</f>
        <v>3.258730206426669</v>
      </c>
      <c r="H210" s="1">
        <f>'[1]Electricity and CHPs'!D$97+H214</f>
        <v>3.2542356087345947</v>
      </c>
      <c r="I210" s="1">
        <f>'[1]Electricity and CHPs'!E$97+I214</f>
        <v>6.7409915815898795</v>
      </c>
      <c r="J210" s="1">
        <f>'[1]Electricity and CHPs'!F$97+J214</f>
        <v>3.3030272890800063</v>
      </c>
      <c r="K210" s="1">
        <f>'[1]Electricity and CHPs'!G$97+K214</f>
        <v>1.2462585280253737</v>
      </c>
    </row>
    <row r="211" spans="1:11" x14ac:dyDescent="0.35">
      <c r="A211" s="5"/>
      <c r="B211" s="5" t="str">
        <f t="shared" si="97"/>
        <v>SPS3</v>
      </c>
      <c r="C211" s="5" t="str">
        <f>C210</f>
        <v>CH</v>
      </c>
      <c r="D211" t="s">
        <v>822</v>
      </c>
      <c r="E211" t="str">
        <f>E170</f>
        <v>PJ/yr.</v>
      </c>
      <c r="F211" s="1">
        <f>F212</f>
        <v>1.7329283713788008</v>
      </c>
      <c r="G211" s="1">
        <f t="shared" ref="G211:K211" si="119">G212</f>
        <v>2.3569453217230709</v>
      </c>
      <c r="H211" s="1">
        <f t="shared" si="119"/>
        <v>2.3524111692489869</v>
      </c>
      <c r="I211" s="1">
        <f t="shared" si="119"/>
        <v>5.4947209267584931</v>
      </c>
      <c r="J211" s="1">
        <f t="shared" si="119"/>
        <v>2.0567668102190648</v>
      </c>
      <c r="K211" s="1">
        <f t="shared" si="119"/>
        <v>1.3690711400116129E-5</v>
      </c>
    </row>
    <row r="212" spans="1:11" x14ac:dyDescent="0.35">
      <c r="A212" s="5" t="s">
        <v>5</v>
      </c>
      <c r="B212" s="5" t="str">
        <f t="shared" si="97"/>
        <v>SPS3</v>
      </c>
      <c r="C212" s="5" t="s">
        <v>7</v>
      </c>
      <c r="D212" t="s">
        <v>820</v>
      </c>
      <c r="E212" t="str">
        <f>E169</f>
        <v>PJ/yr.</v>
      </c>
      <c r="F212" s="1">
        <f>F210-F214</f>
        <v>1.7329283713788008</v>
      </c>
      <c r="G212" s="1">
        <f t="shared" ref="G212:K212" si="120">G210-G214</f>
        <v>2.3569453217230709</v>
      </c>
      <c r="H212" s="1">
        <f t="shared" si="120"/>
        <v>2.3524111692489869</v>
      </c>
      <c r="I212" s="1">
        <f t="shared" si="120"/>
        <v>5.4947209267584931</v>
      </c>
      <c r="J212" s="1">
        <f t="shared" si="120"/>
        <v>2.0567668102190648</v>
      </c>
      <c r="K212" s="1">
        <f t="shared" si="120"/>
        <v>1.3690711400116129E-5</v>
      </c>
    </row>
    <row r="213" spans="1:11" x14ac:dyDescent="0.35">
      <c r="A213" s="5"/>
      <c r="B213" s="5" t="str">
        <f t="shared" si="97"/>
        <v>SPS3</v>
      </c>
      <c r="C213" s="5" t="str">
        <f>C212</f>
        <v>CH</v>
      </c>
      <c r="D213" t="s">
        <v>824</v>
      </c>
      <c r="E213" t="str">
        <f>E170</f>
        <v>PJ/yr.</v>
      </c>
      <c r="F213" s="1">
        <f>F214</f>
        <v>0.90181994839326141</v>
      </c>
      <c r="G213" s="1">
        <f t="shared" ref="G213:K213" si="121">G214</f>
        <v>0.90178488470359808</v>
      </c>
      <c r="H213" s="1">
        <f t="shared" si="121"/>
        <v>0.90182443948560775</v>
      </c>
      <c r="I213" s="1">
        <f t="shared" si="121"/>
        <v>1.2462706548313867</v>
      </c>
      <c r="J213" s="1">
        <f t="shared" si="121"/>
        <v>1.2462604788609417</v>
      </c>
      <c r="K213" s="1">
        <f t="shared" si="121"/>
        <v>1.2462448373139736</v>
      </c>
    </row>
    <row r="214" spans="1:11" x14ac:dyDescent="0.35">
      <c r="A214" s="5" t="s">
        <v>5</v>
      </c>
      <c r="B214" s="5" t="str">
        <f t="shared" si="97"/>
        <v>SPS3</v>
      </c>
      <c r="C214" s="5" t="s">
        <v>7</v>
      </c>
      <c r="D214" t="s">
        <v>821</v>
      </c>
      <c r="E214" t="str">
        <f>E170</f>
        <v>PJ/yr.</v>
      </c>
      <c r="F214" s="1">
        <f>'[1]Electricity and CHPs'!B$98</f>
        <v>0.90181994839326141</v>
      </c>
      <c r="G214" s="1">
        <f>'[1]Electricity and CHPs'!C$98</f>
        <v>0.90178488470359808</v>
      </c>
      <c r="H214" s="1">
        <f>'[1]Electricity and CHPs'!D$98</f>
        <v>0.90182443948560775</v>
      </c>
      <c r="I214" s="1">
        <f>'[1]Electricity and CHPs'!E$98</f>
        <v>1.2462706548313867</v>
      </c>
      <c r="J214" s="1">
        <f>'[1]Electricity and CHPs'!F$98</f>
        <v>1.2462604788609417</v>
      </c>
      <c r="K214" s="1">
        <f>'[1]Electricity and CHPs'!G$98</f>
        <v>1.2462448373139736</v>
      </c>
    </row>
    <row r="215" spans="1:11" x14ac:dyDescent="0.35">
      <c r="A215" s="5" t="s">
        <v>5</v>
      </c>
      <c r="B215" s="5" t="str">
        <f t="shared" si="97"/>
        <v>SPS3</v>
      </c>
      <c r="C215" s="5" t="s">
        <v>7</v>
      </c>
      <c r="D215" t="s">
        <v>825</v>
      </c>
      <c r="E215" t="str">
        <f>E170</f>
        <v>PJ/yr.</v>
      </c>
      <c r="F215" s="1">
        <f>+F216</f>
        <v>1.4500617813936036</v>
      </c>
      <c r="G215" s="1">
        <f t="shared" ref="G215:K215" si="122">+G216</f>
        <v>3.8019469359038429</v>
      </c>
      <c r="H215" s="1">
        <f t="shared" si="122"/>
        <v>3.2982445456783847</v>
      </c>
      <c r="I215" s="1">
        <f t="shared" si="122"/>
        <v>0.85652859757509403</v>
      </c>
      <c r="J215" s="1">
        <f t="shared" si="122"/>
        <v>0</v>
      </c>
      <c r="K215" s="1">
        <f t="shared" si="122"/>
        <v>0</v>
      </c>
    </row>
    <row r="216" spans="1:11" x14ac:dyDescent="0.35">
      <c r="A216" s="5" t="s">
        <v>5</v>
      </c>
      <c r="B216" s="5" t="str">
        <f t="shared" si="97"/>
        <v>SPS3</v>
      </c>
      <c r="C216" s="5" t="s">
        <v>7</v>
      </c>
      <c r="D216" t="s">
        <v>164</v>
      </c>
      <c r="E216" t="str">
        <f>E171</f>
        <v>PJ/yr.</v>
      </c>
      <c r="F216" s="1">
        <f>'[1]Electricity and CHPs'!B$99</f>
        <v>1.4500617813936036</v>
      </c>
      <c r="G216" s="1">
        <f>'[1]Electricity and CHPs'!C$99</f>
        <v>3.8019469359038429</v>
      </c>
      <c r="H216" s="1">
        <f>'[1]Electricity and CHPs'!D$99</f>
        <v>3.2982445456783847</v>
      </c>
      <c r="I216" s="1">
        <f>'[1]Electricity and CHPs'!E$99</f>
        <v>0.85652859757509403</v>
      </c>
      <c r="J216" s="1">
        <f>'[1]Electricity and CHPs'!F$99</f>
        <v>0</v>
      </c>
      <c r="K216" s="1">
        <f>'[1]Electricity and CHPs'!G$99</f>
        <v>0</v>
      </c>
    </row>
    <row r="217" spans="1:11" x14ac:dyDescent="0.35">
      <c r="A217" s="5" t="s">
        <v>5</v>
      </c>
      <c r="B217" s="5" t="str">
        <f t="shared" si="97"/>
        <v>SPS3</v>
      </c>
      <c r="C217" s="5" t="s">
        <v>7</v>
      </c>
      <c r="D217" t="s">
        <v>826</v>
      </c>
      <c r="E217" t="str">
        <f>E171</f>
        <v>PJ/yr.</v>
      </c>
      <c r="F217" s="1">
        <f>+F218</f>
        <v>0.18410975696952658</v>
      </c>
      <c r="G217" s="1">
        <f t="shared" ref="G217:K217" si="123">+G218</f>
        <v>0.18580573252624785</v>
      </c>
      <c r="H217" s="1">
        <f t="shared" si="123"/>
        <v>5.0488874074197743E-3</v>
      </c>
      <c r="I217" s="1">
        <f t="shared" si="123"/>
        <v>2.8782630984045909E-4</v>
      </c>
      <c r="J217" s="1">
        <f t="shared" si="123"/>
        <v>7.7038995163725545E-5</v>
      </c>
      <c r="K217" s="1">
        <f t="shared" si="123"/>
        <v>7.3755182260899318E-6</v>
      </c>
    </row>
    <row r="218" spans="1:11" x14ac:dyDescent="0.35">
      <c r="A218" s="5" t="s">
        <v>5</v>
      </c>
      <c r="B218" s="5" t="str">
        <f t="shared" si="97"/>
        <v>SPS3</v>
      </c>
      <c r="C218" s="5" t="s">
        <v>7</v>
      </c>
      <c r="D218" t="s">
        <v>165</v>
      </c>
      <c r="E218" t="str">
        <f>E172</f>
        <v>PJ/yr.</v>
      </c>
      <c r="F218" s="1">
        <f>'[1]Electricity and CHPs'!B$100</f>
        <v>0.18410975696952658</v>
      </c>
      <c r="G218" s="1">
        <f>'[1]Electricity and CHPs'!C$100</f>
        <v>0.18580573252624785</v>
      </c>
      <c r="H218" s="1">
        <f>'[1]Electricity and CHPs'!D$100</f>
        <v>5.0488874074197743E-3</v>
      </c>
      <c r="I218" s="1">
        <f>'[1]Electricity and CHPs'!E$100</f>
        <v>2.8782630984045909E-4</v>
      </c>
      <c r="J218" s="1">
        <f>'[1]Electricity and CHPs'!F$100</f>
        <v>7.7038995163725545E-5</v>
      </c>
      <c r="K218" s="1">
        <f>'[1]Electricity and CHPs'!G$100</f>
        <v>7.3755182260899318E-6</v>
      </c>
    </row>
    <row r="219" spans="1:11" x14ac:dyDescent="0.35">
      <c r="A219" s="5"/>
      <c r="B219" s="5" t="str">
        <f t="shared" si="97"/>
        <v>SPS3</v>
      </c>
      <c r="C219" s="5" t="s">
        <v>7</v>
      </c>
      <c r="D219" t="s">
        <v>827</v>
      </c>
      <c r="E219" t="str">
        <f>E171</f>
        <v>PJ/yr.</v>
      </c>
      <c r="F219" s="1">
        <f>F220</f>
        <v>0.18410975696952658</v>
      </c>
      <c r="G219" s="1">
        <f t="shared" ref="G219:K219" si="124">G220</f>
        <v>0.18580573252624785</v>
      </c>
      <c r="H219" s="1">
        <f t="shared" si="124"/>
        <v>5.0488874074197743E-3</v>
      </c>
      <c r="I219" s="1">
        <f t="shared" si="124"/>
        <v>2.8782630984045909E-4</v>
      </c>
      <c r="J219" s="1">
        <f t="shared" si="124"/>
        <v>7.7038995163725545E-5</v>
      </c>
      <c r="K219" s="1">
        <f t="shared" si="124"/>
        <v>7.3755182260899318E-6</v>
      </c>
    </row>
    <row r="220" spans="1:11" x14ac:dyDescent="0.35">
      <c r="A220" s="5" t="s">
        <v>5</v>
      </c>
      <c r="B220" s="5" t="str">
        <f t="shared" si="97"/>
        <v>SPS3</v>
      </c>
      <c r="C220" s="5" t="s">
        <v>7</v>
      </c>
      <c r="D220" t="s">
        <v>518</v>
      </c>
      <c r="E220" t="str">
        <f>E172</f>
        <v>PJ/yr.</v>
      </c>
      <c r="F220" s="1">
        <f>F218-F222</f>
        <v>0.18410975696952658</v>
      </c>
      <c r="G220" s="1">
        <f t="shared" ref="G220:K220" si="125">G218-G222</f>
        <v>0.18580573252624785</v>
      </c>
      <c r="H220" s="1">
        <f t="shared" si="125"/>
        <v>5.0488874074197743E-3</v>
      </c>
      <c r="I220" s="1">
        <f t="shared" si="125"/>
        <v>2.8782630984045909E-4</v>
      </c>
      <c r="J220" s="1">
        <f t="shared" si="125"/>
        <v>7.7038995163725545E-5</v>
      </c>
      <c r="K220" s="1">
        <f t="shared" si="125"/>
        <v>7.3755182260899318E-6</v>
      </c>
    </row>
    <row r="221" spans="1:11" x14ac:dyDescent="0.35">
      <c r="A221" s="5"/>
      <c r="B221" s="5" t="str">
        <f t="shared" si="97"/>
        <v>SPS3</v>
      </c>
      <c r="C221" s="5" t="s">
        <v>7</v>
      </c>
      <c r="D221" t="s">
        <v>828</v>
      </c>
      <c r="E221" t="str">
        <f>E172</f>
        <v>PJ/yr.</v>
      </c>
      <c r="F221" s="1">
        <f>F222</f>
        <v>0</v>
      </c>
      <c r="G221" s="1">
        <f t="shared" ref="G221:K221" si="126">G222</f>
        <v>0</v>
      </c>
      <c r="H221" s="1">
        <f t="shared" si="126"/>
        <v>0</v>
      </c>
      <c r="I221" s="1">
        <f t="shared" si="126"/>
        <v>0</v>
      </c>
      <c r="J221" s="1">
        <f t="shared" si="126"/>
        <v>0</v>
      </c>
      <c r="K221" s="1">
        <f t="shared" si="126"/>
        <v>0</v>
      </c>
    </row>
    <row r="222" spans="1:11" x14ac:dyDescent="0.35">
      <c r="A222" s="5" t="s">
        <v>5</v>
      </c>
      <c r="B222" s="5" t="str">
        <f t="shared" si="97"/>
        <v>SPS3</v>
      </c>
      <c r="C222" s="5" t="s">
        <v>7</v>
      </c>
      <c r="D222" t="s">
        <v>542</v>
      </c>
      <c r="E222" t="str">
        <f>E173</f>
        <v>PJ/yr.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x14ac:dyDescent="0.35">
      <c r="A223" s="5" t="s">
        <v>5</v>
      </c>
      <c r="B223" s="5" t="str">
        <f t="shared" si="97"/>
        <v>SPS3</v>
      </c>
      <c r="C223" s="5" t="s">
        <v>7</v>
      </c>
      <c r="D223" t="s">
        <v>829</v>
      </c>
      <c r="E223" t="str">
        <f>E172</f>
        <v>PJ/yr.</v>
      </c>
      <c r="F223" s="1">
        <f>+F224</f>
        <v>2.2022598100286581</v>
      </c>
      <c r="G223" s="1">
        <f t="shared" ref="G223:K223" si="127">+G224</f>
        <v>1.9875335625921808</v>
      </c>
      <c r="H223" s="1">
        <f t="shared" si="127"/>
        <v>1.7040745041874763</v>
      </c>
      <c r="I223" s="1">
        <f t="shared" si="127"/>
        <v>1.318581997713272</v>
      </c>
      <c r="J223" s="1">
        <f t="shared" si="127"/>
        <v>0.7894856492918636</v>
      </c>
      <c r="K223" s="1">
        <f t="shared" si="127"/>
        <v>0.47270377985208351</v>
      </c>
    </row>
    <row r="224" spans="1:11" x14ac:dyDescent="0.35">
      <c r="A224" s="5" t="s">
        <v>5</v>
      </c>
      <c r="B224" s="5" t="str">
        <f t="shared" si="97"/>
        <v>SPS3</v>
      </c>
      <c r="C224" s="5" t="s">
        <v>7</v>
      </c>
      <c r="D224" t="s">
        <v>166</v>
      </c>
      <c r="E224" t="str">
        <f>E173</f>
        <v>PJ/yr.</v>
      </c>
      <c r="F224" s="1">
        <f>'[1]Electricity and CHPs'!B$101</f>
        <v>2.2022598100286581</v>
      </c>
      <c r="G224" s="1">
        <f>'[1]Electricity and CHPs'!C$101</f>
        <v>1.9875335625921808</v>
      </c>
      <c r="H224" s="1">
        <f>'[1]Electricity and CHPs'!D$101</f>
        <v>1.7040745041874763</v>
      </c>
      <c r="I224" s="1">
        <f>'[1]Electricity and CHPs'!E$101</f>
        <v>1.318581997713272</v>
      </c>
      <c r="J224" s="1">
        <f>'[1]Electricity and CHPs'!F$101</f>
        <v>0.7894856492918636</v>
      </c>
      <c r="K224" s="1">
        <f>'[1]Electricity and CHPs'!G$101</f>
        <v>0.47270377985208351</v>
      </c>
    </row>
    <row r="225" spans="1:11" x14ac:dyDescent="0.35">
      <c r="A225" s="5" t="s">
        <v>5</v>
      </c>
      <c r="B225" s="5" t="str">
        <f t="shared" si="97"/>
        <v>SPS3</v>
      </c>
      <c r="C225" s="5" t="s">
        <v>7</v>
      </c>
      <c r="D225" t="s">
        <v>830</v>
      </c>
      <c r="E225" t="str">
        <f>E173</f>
        <v>PJ/yr.</v>
      </c>
      <c r="F225" s="1">
        <f>+F226</f>
        <v>0</v>
      </c>
      <c r="G225" s="1">
        <f t="shared" ref="G225:K225" si="128">+G226</f>
        <v>0</v>
      </c>
      <c r="H225" s="1">
        <f t="shared" si="128"/>
        <v>0</v>
      </c>
      <c r="I225" s="1">
        <f t="shared" si="128"/>
        <v>0</v>
      </c>
      <c r="J225" s="1">
        <f t="shared" si="128"/>
        <v>0</v>
      </c>
      <c r="K225" s="1">
        <f t="shared" si="128"/>
        <v>0</v>
      </c>
    </row>
    <row r="226" spans="1:11" x14ac:dyDescent="0.35">
      <c r="A226" s="5" t="s">
        <v>5</v>
      </c>
      <c r="B226" s="5" t="str">
        <f t="shared" si="97"/>
        <v>SPS3</v>
      </c>
      <c r="C226" s="5" t="s">
        <v>7</v>
      </c>
      <c r="D226" t="s">
        <v>167</v>
      </c>
      <c r="E226" t="str">
        <f>E174</f>
        <v>PJ/yr.</v>
      </c>
      <c r="F226" s="1">
        <f>'[1]Electricity and CHPs'!B$102</f>
        <v>0</v>
      </c>
      <c r="G226" s="1">
        <f>'[1]Electricity and CHPs'!C$102</f>
        <v>0</v>
      </c>
      <c r="H226" s="1">
        <f>'[1]Electricity and CHPs'!D$102</f>
        <v>0</v>
      </c>
      <c r="I226" s="1">
        <f>'[1]Electricity and CHPs'!E$102</f>
        <v>0</v>
      </c>
      <c r="J226" s="1">
        <f>'[1]Electricity and CHPs'!F$102</f>
        <v>0</v>
      </c>
      <c r="K226" s="1">
        <f>'[1]Electricity and CHPs'!G$102</f>
        <v>0</v>
      </c>
    </row>
    <row r="227" spans="1:11" x14ac:dyDescent="0.35">
      <c r="A227" s="5" t="s">
        <v>5</v>
      </c>
      <c r="B227" s="5" t="str">
        <f t="shared" si="97"/>
        <v>SPS3</v>
      </c>
      <c r="C227" s="5" t="s">
        <v>7</v>
      </c>
      <c r="D227" t="s">
        <v>831</v>
      </c>
      <c r="E227" t="str">
        <f>E174</f>
        <v>PJ/yr.</v>
      </c>
      <c r="F227" s="1">
        <f>+F228</f>
        <v>0</v>
      </c>
      <c r="G227" s="1">
        <f t="shared" ref="G227:K227" si="129">+G228</f>
        <v>0</v>
      </c>
      <c r="H227" s="1">
        <f t="shared" si="129"/>
        <v>0</v>
      </c>
      <c r="I227" s="1">
        <f t="shared" si="129"/>
        <v>0</v>
      </c>
      <c r="J227" s="1">
        <f t="shared" si="129"/>
        <v>2.5740021049843294</v>
      </c>
      <c r="K227" s="1">
        <f t="shared" si="129"/>
        <v>5.1430182043287713</v>
      </c>
    </row>
    <row r="228" spans="1:11" x14ac:dyDescent="0.35">
      <c r="A228" s="5" t="s">
        <v>5</v>
      </c>
      <c r="B228" s="5" t="str">
        <f t="shared" si="97"/>
        <v>SPS3</v>
      </c>
      <c r="C228" s="5" t="s">
        <v>7</v>
      </c>
      <c r="D228" t="s">
        <v>233</v>
      </c>
      <c r="E228" t="str">
        <f>E175</f>
        <v>PJ/yr.</v>
      </c>
      <c r="F228" s="1">
        <f>'[1]Electricity and CHPs'!B$90</f>
        <v>0</v>
      </c>
      <c r="G228" s="1">
        <f>'[1]Electricity and CHPs'!C$90</f>
        <v>0</v>
      </c>
      <c r="H228" s="1">
        <f>'[1]Electricity and CHPs'!D$90</f>
        <v>0</v>
      </c>
      <c r="I228" s="1">
        <f>'[1]Electricity and CHPs'!E$90</f>
        <v>0</v>
      </c>
      <c r="J228" s="1">
        <f>'[1]Electricity and CHPs'!F$90</f>
        <v>2.5740021049843294</v>
      </c>
      <c r="K228" s="1">
        <f>'[1]Electricity and CHPs'!G$90</f>
        <v>5.1430182043287713</v>
      </c>
    </row>
    <row r="229" spans="1:11" x14ac:dyDescent="0.35">
      <c r="A229" s="5" t="s">
        <v>5</v>
      </c>
      <c r="B229" s="5" t="str">
        <f t="shared" si="97"/>
        <v>SPS3</v>
      </c>
      <c r="C229" s="5" t="s">
        <v>7</v>
      </c>
      <c r="D229" t="s">
        <v>832</v>
      </c>
      <c r="E229" t="str">
        <f>E174</f>
        <v>PJ/yr.</v>
      </c>
      <c r="F229" s="1">
        <f>+F230</f>
        <v>0</v>
      </c>
      <c r="G229" s="1">
        <f t="shared" ref="G229:K229" si="130">+G230</f>
        <v>2.9820628701870402</v>
      </c>
      <c r="H229" s="1">
        <f t="shared" si="130"/>
        <v>3.07242446820878</v>
      </c>
      <c r="I229" s="1">
        <f t="shared" si="130"/>
        <v>5.9377564455654017</v>
      </c>
      <c r="J229" s="1">
        <f t="shared" si="130"/>
        <v>6.5589733484519934</v>
      </c>
      <c r="K229" s="1">
        <f t="shared" si="130"/>
        <v>7.2451825577618036</v>
      </c>
    </row>
    <row r="230" spans="1:11" x14ac:dyDescent="0.35">
      <c r="A230" s="5" t="s">
        <v>5</v>
      </c>
      <c r="B230" s="5" t="str">
        <f t="shared" si="97"/>
        <v>SPS3</v>
      </c>
      <c r="C230" s="5" t="s">
        <v>7</v>
      </c>
      <c r="D230" t="s">
        <v>833</v>
      </c>
      <c r="E230" t="str">
        <f>E175</f>
        <v>PJ/yr.</v>
      </c>
      <c r="F230" s="1">
        <f>'[1]Electricity and CHPs'!B$123</f>
        <v>0</v>
      </c>
      <c r="G230" s="1">
        <f>'[1]Electricity and CHPs'!C$123</f>
        <v>2.9820628701870402</v>
      </c>
      <c r="H230" s="1">
        <f>'[1]Electricity and CHPs'!D$123</f>
        <v>3.07242446820878</v>
      </c>
      <c r="I230" s="1">
        <f>'[1]Electricity and CHPs'!E$123</f>
        <v>5.9377564455654017</v>
      </c>
      <c r="J230" s="1">
        <f>'[1]Electricity and CHPs'!F$123</f>
        <v>6.5589733484519934</v>
      </c>
      <c r="K230" s="1">
        <f>'[1]Electricity and CHPs'!G$123</f>
        <v>7.2451825577618036</v>
      </c>
    </row>
    <row r="231" spans="1:11" x14ac:dyDescent="0.35">
      <c r="A231" s="5" t="s">
        <v>5</v>
      </c>
      <c r="B231" s="5" t="str">
        <f t="shared" si="97"/>
        <v>SPS3</v>
      </c>
      <c r="C231" s="5" t="s">
        <v>7</v>
      </c>
      <c r="D231" t="s">
        <v>834</v>
      </c>
      <c r="E231" t="str">
        <f>E169</f>
        <v>PJ/yr.</v>
      </c>
      <c r="F231" s="1">
        <f>SUM(F232,F238,F271,F280,F286)</f>
        <v>6.5693598667167521</v>
      </c>
      <c r="G231" s="1">
        <f t="shared" ref="G231:K231" si="131">SUM(G232,G238,G271,G280,G286)</f>
        <v>7.4250974661512181</v>
      </c>
      <c r="H231" s="1">
        <f t="shared" si="131"/>
        <v>7.7091690348151651</v>
      </c>
      <c r="I231" s="1">
        <f t="shared" si="131"/>
        <v>14.165585525480052</v>
      </c>
      <c r="J231" s="1">
        <f t="shared" si="131"/>
        <v>15.118951666708019</v>
      </c>
      <c r="K231" s="1">
        <f t="shared" si="131"/>
        <v>15.74806617532005</v>
      </c>
    </row>
    <row r="232" spans="1:11" x14ac:dyDescent="0.35">
      <c r="A232" s="5" t="s">
        <v>5</v>
      </c>
      <c r="B232" s="5" t="str">
        <f t="shared" si="97"/>
        <v>SPS3</v>
      </c>
      <c r="C232" s="5" t="s">
        <v>7</v>
      </c>
      <c r="D232" t="s">
        <v>835</v>
      </c>
      <c r="E232" t="str">
        <f>E169</f>
        <v>PJ/yr.</v>
      </c>
      <c r="F232" s="1">
        <f>+F233</f>
        <v>0.92958358177345157</v>
      </c>
      <c r="G232" s="1">
        <f t="shared" ref="G232:K232" si="132">+G233</f>
        <v>2.0704381554654616</v>
      </c>
      <c r="H232" s="1">
        <f t="shared" si="132"/>
        <v>4.8121781026068566E-2</v>
      </c>
      <c r="I232" s="1">
        <f t="shared" si="132"/>
        <v>1.0811480223794336</v>
      </c>
      <c r="J232" s="1">
        <f t="shared" si="132"/>
        <v>1.2717703787906514E-3</v>
      </c>
      <c r="K232" s="1">
        <f t="shared" si="132"/>
        <v>2.7622953017343354E-4</v>
      </c>
    </row>
    <row r="233" spans="1:11" x14ac:dyDescent="0.35">
      <c r="A233" s="5" t="s">
        <v>5</v>
      </c>
      <c r="B233" s="5" t="str">
        <f t="shared" si="97"/>
        <v>SPS3</v>
      </c>
      <c r="C233" s="5" t="s">
        <v>7</v>
      </c>
      <c r="D233" t="s">
        <v>168</v>
      </c>
      <c r="E233" t="str">
        <f>E170</f>
        <v>PJ/yr.</v>
      </c>
      <c r="F233" s="1">
        <f>'[1]Electricity and CHPs'!B$104</f>
        <v>0.92958358177345157</v>
      </c>
      <c r="G233" s="1">
        <f>'[1]Electricity and CHPs'!C$104</f>
        <v>2.0704381554654616</v>
      </c>
      <c r="H233" s="1">
        <f>'[1]Electricity and CHPs'!D$104</f>
        <v>4.8121781026068566E-2</v>
      </c>
      <c r="I233" s="1">
        <f>'[1]Electricity and CHPs'!E$104</f>
        <v>1.0811480223794336</v>
      </c>
      <c r="J233" s="1">
        <f>'[1]Electricity and CHPs'!F$104</f>
        <v>1.2717703787906514E-3</v>
      </c>
      <c r="K233" s="1">
        <f>'[1]Electricity and CHPs'!G$104</f>
        <v>2.7622953017343354E-4</v>
      </c>
    </row>
    <row r="234" spans="1:11" x14ac:dyDescent="0.35">
      <c r="A234" s="5"/>
      <c r="B234" s="5" t="str">
        <f t="shared" si="97"/>
        <v>SPS3</v>
      </c>
      <c r="C234" s="5" t="s">
        <v>7</v>
      </c>
      <c r="D234" t="s">
        <v>836</v>
      </c>
      <c r="E234" t="str">
        <f>E169</f>
        <v>PJ/yr.</v>
      </c>
      <c r="F234" s="1">
        <f>F235</f>
        <v>0.92958358177345157</v>
      </c>
      <c r="G234" s="1">
        <f t="shared" ref="G234:K234" si="133">G235</f>
        <v>2.0704381554654616</v>
      </c>
      <c r="H234" s="1">
        <f t="shared" si="133"/>
        <v>4.8121781026068566E-2</v>
      </c>
      <c r="I234" s="1">
        <f t="shared" si="133"/>
        <v>1.0811480223794336</v>
      </c>
      <c r="J234" s="1">
        <f t="shared" si="133"/>
        <v>1.2717703787906514E-3</v>
      </c>
      <c r="K234" s="1">
        <f t="shared" si="133"/>
        <v>2.7622953017343354E-4</v>
      </c>
    </row>
    <row r="235" spans="1:11" x14ac:dyDescent="0.35">
      <c r="A235" s="5" t="s">
        <v>5</v>
      </c>
      <c r="B235" s="5" t="str">
        <f t="shared" si="97"/>
        <v>SPS3</v>
      </c>
      <c r="C235" s="5" t="s">
        <v>7</v>
      </c>
      <c r="D235" t="s">
        <v>519</v>
      </c>
      <c r="E235" t="str">
        <f>E170</f>
        <v>PJ/yr.</v>
      </c>
      <c r="F235" s="1">
        <f>F233-F237</f>
        <v>0.92958358177345157</v>
      </c>
      <c r="G235" s="1">
        <f t="shared" ref="G235:K235" si="134">G233-G237</f>
        <v>2.0704381554654616</v>
      </c>
      <c r="H235" s="1">
        <f t="shared" si="134"/>
        <v>4.8121781026068566E-2</v>
      </c>
      <c r="I235" s="1">
        <f t="shared" si="134"/>
        <v>1.0811480223794336</v>
      </c>
      <c r="J235" s="1">
        <f t="shared" si="134"/>
        <v>1.2717703787906514E-3</v>
      </c>
      <c r="K235" s="1">
        <f t="shared" si="134"/>
        <v>2.7622953017343354E-4</v>
      </c>
    </row>
    <row r="236" spans="1:11" x14ac:dyDescent="0.35">
      <c r="A236" s="5"/>
      <c r="B236" s="5" t="str">
        <f t="shared" si="97"/>
        <v>SPS3</v>
      </c>
      <c r="C236" s="5" t="s">
        <v>7</v>
      </c>
      <c r="D236" t="s">
        <v>837</v>
      </c>
      <c r="E236" t="str">
        <f>E170</f>
        <v>PJ/yr.</v>
      </c>
      <c r="F236" s="1">
        <f>F237</f>
        <v>0</v>
      </c>
      <c r="G236" s="1">
        <f t="shared" ref="G236:K236" si="135">G237</f>
        <v>0</v>
      </c>
      <c r="H236" s="1">
        <f t="shared" si="135"/>
        <v>0</v>
      </c>
      <c r="I236" s="1">
        <f t="shared" si="135"/>
        <v>0</v>
      </c>
      <c r="J236" s="1">
        <f t="shared" si="135"/>
        <v>0</v>
      </c>
      <c r="K236" s="1">
        <f t="shared" si="135"/>
        <v>0</v>
      </c>
    </row>
    <row r="237" spans="1:11" x14ac:dyDescent="0.35">
      <c r="A237" s="5" t="s">
        <v>5</v>
      </c>
      <c r="B237" s="5" t="str">
        <f t="shared" si="97"/>
        <v>SPS3</v>
      </c>
      <c r="C237" s="5" t="s">
        <v>7</v>
      </c>
      <c r="D237" t="s">
        <v>543</v>
      </c>
      <c r="E237" t="str">
        <f>E171</f>
        <v>PJ/yr.</v>
      </c>
      <c r="F237" s="1">
        <f t="shared" ref="F237:K237" si="136">F233*IFERROR(F79/F75,0)</f>
        <v>0</v>
      </c>
      <c r="G237" s="1">
        <f t="shared" si="136"/>
        <v>0</v>
      </c>
      <c r="H237" s="1">
        <f t="shared" si="136"/>
        <v>0</v>
      </c>
      <c r="I237" s="1">
        <f t="shared" si="136"/>
        <v>0</v>
      </c>
      <c r="J237" s="1">
        <f t="shared" si="136"/>
        <v>0</v>
      </c>
      <c r="K237" s="1">
        <f t="shared" si="136"/>
        <v>0</v>
      </c>
    </row>
    <row r="238" spans="1:11" x14ac:dyDescent="0.35">
      <c r="A238" s="5" t="s">
        <v>5</v>
      </c>
      <c r="B238" s="5" t="str">
        <f t="shared" si="97"/>
        <v>SPS3</v>
      </c>
      <c r="C238" s="5" t="s">
        <v>7</v>
      </c>
      <c r="D238" t="s">
        <v>838</v>
      </c>
      <c r="E238" t="str">
        <f>E171</f>
        <v>PJ/yr.</v>
      </c>
      <c r="F238" s="1">
        <f>SUM(F239:F248)</f>
        <v>3.0414529637535739</v>
      </c>
      <c r="G238" s="1">
        <f t="shared" ref="G238:K238" si="137">SUM(G239:G248)</f>
        <v>2.922772384476227</v>
      </c>
      <c r="H238" s="1">
        <f t="shared" si="137"/>
        <v>1.7224042185310904</v>
      </c>
      <c r="I238" s="1">
        <f t="shared" si="137"/>
        <v>5.7825660742483</v>
      </c>
      <c r="J238" s="1">
        <f t="shared" si="137"/>
        <v>6.0752313313969299</v>
      </c>
      <c r="K238" s="1">
        <f t="shared" si="137"/>
        <v>3.5001005859253067</v>
      </c>
    </row>
    <row r="239" spans="1:11" x14ac:dyDescent="0.35">
      <c r="A239" s="5" t="s">
        <v>5</v>
      </c>
      <c r="B239" s="5" t="str">
        <f t="shared" si="97"/>
        <v>SPS3</v>
      </c>
      <c r="C239" s="5" t="s">
        <v>7</v>
      </c>
      <c r="D239" t="s">
        <v>169</v>
      </c>
      <c r="E239" t="str">
        <f>E172</f>
        <v>PJ/yr.</v>
      </c>
      <c r="F239" s="1">
        <f>'[1]Electricity and CHPs_IN'!B$39*0.75-F86-F240</f>
        <v>0.77918711338105484</v>
      </c>
      <c r="G239" s="1">
        <f>'[1]Electricity and CHPs_IN'!C$39*0.75-G86-G240</f>
        <v>0.58598845857301995</v>
      </c>
      <c r="H239" s="1">
        <f>'[1]Electricity and CHPs_IN'!D$39*0.75-H86-H240</f>
        <v>6.26516407744349E-2</v>
      </c>
      <c r="I239" s="1">
        <f>'[1]Electricity and CHPs_IN'!E$39*0.75-I86-I240</f>
        <v>2.6862301045880579E-2</v>
      </c>
      <c r="J239" s="1">
        <f>'[1]Electricity and CHPs'!F$103-J240</f>
        <v>6.1726628082061008E-3</v>
      </c>
      <c r="K239" s="1">
        <f>'[1]Electricity and CHPs'!G$103-K240</f>
        <v>8.7628939903355136E-4</v>
      </c>
    </row>
    <row r="240" spans="1:11" x14ac:dyDescent="0.35">
      <c r="A240" s="5" t="s">
        <v>5</v>
      </c>
      <c r="B240" s="5" t="str">
        <f t="shared" si="97"/>
        <v>SPS3</v>
      </c>
      <c r="C240" s="5" t="s">
        <v>7</v>
      </c>
      <c r="D240" t="s">
        <v>170</v>
      </c>
      <c r="E240" t="str">
        <f>E173</f>
        <v>PJ/yr.</v>
      </c>
      <c r="F240" s="1" cm="1">
        <f t="array" ref="F240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0" s="1" cm="1">
        <f t="array" ref="G240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0" s="1" cm="1">
        <f t="array" ref="H240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0" s="1" cm="1">
        <f t="array" ref="I240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0" s="1" cm="1">
        <f t="array" ref="J240">SUMPRODUCT((ISNUMBER(SEARCH("ITOT-CHPNGACCS",[1]OUT_Electricity_CHP!$B$1:$B$10000)))*1,([1]OUT_Electricity_CHP!$C$1:$C$10000="Var_Fout")*1,([1]OUT_Electricity_CHP!$D$1:$D$10000="ITOT_LTH_CHP")*1,[1]OUT_Electricity_CHP!I$1:I$10000)</f>
        <v>3.4985483723713246E-4</v>
      </c>
      <c r="K240" s="1" cm="1">
        <f t="array" ref="K240">SUMPRODUCT((ISNUMBER(SEARCH("ITOT-CHPNGACCS",[1]OUT_Electricity_CHP!$B$1:$B$10000)))*1,([1]OUT_Electricity_CHP!$C$1:$C$10000="Var_Fout")*1,([1]OUT_Electricity_CHP!$D$1:$D$10000="ITOT_LTH_CHP")*1,[1]OUT_Electricity_CHP!J$1:J$10000)</f>
        <v>5.7432719773121087E-4</v>
      </c>
    </row>
    <row r="241" spans="1:11" x14ac:dyDescent="0.35">
      <c r="A241" s="5" t="s">
        <v>5</v>
      </c>
      <c r="B241" s="5" t="str">
        <f t="shared" si="97"/>
        <v>SPS3</v>
      </c>
      <c r="C241" s="5" t="s">
        <v>7</v>
      </c>
      <c r="D241" t="s">
        <v>171</v>
      </c>
      <c r="E241" t="str">
        <f>E174</f>
        <v>PJ/yr.</v>
      </c>
      <c r="F241" s="1">
        <f>'[1]Electricity and CHPs'!B$107</f>
        <v>0</v>
      </c>
      <c r="G241" s="1">
        <f>'[1]Electricity and CHPs'!C$107</f>
        <v>0</v>
      </c>
      <c r="H241" s="1">
        <f>'[1]Electricity and CHPs'!D$107</f>
        <v>0</v>
      </c>
      <c r="I241" s="1">
        <f>'[1]Electricity and CHPs'!E$107</f>
        <v>0</v>
      </c>
      <c r="J241" s="1">
        <f>'[1]Electricity and CHPs'!F$107</f>
        <v>4.5898859920885979E-4</v>
      </c>
      <c r="K241" s="1">
        <f>'[1]Electricity and CHPs'!G$107</f>
        <v>5.8790663357989918E-4</v>
      </c>
    </row>
    <row r="242" spans="1:11" x14ac:dyDescent="0.35">
      <c r="A242" s="5" t="s">
        <v>5</v>
      </c>
      <c r="B242" s="5" t="str">
        <f t="shared" si="97"/>
        <v>SPS3</v>
      </c>
      <c r="C242" s="5" t="s">
        <v>7</v>
      </c>
      <c r="D242" t="s">
        <v>172</v>
      </c>
      <c r="E242" t="str">
        <f>E197</f>
        <v>PJ/yr.</v>
      </c>
      <c r="F242" s="1">
        <f>'[1]Electricity and CHPs'!B$109</f>
        <v>5.5215458428201067E-2</v>
      </c>
      <c r="G242" s="1">
        <f>'[1]Electricity and CHPs'!C$109</f>
        <v>4.4159099157169458E-3</v>
      </c>
      <c r="H242" s="1">
        <f>'[1]Electricity and CHPs'!D$109</f>
        <v>3.4853021116122485E-2</v>
      </c>
      <c r="I242" s="1">
        <f>'[1]Electricity and CHPs'!E$109</f>
        <v>4.4079928195512499E-2</v>
      </c>
      <c r="J242" s="1">
        <f>'[1]Electricity and CHPs'!F$109</f>
        <v>1.5494303189903483E-2</v>
      </c>
      <c r="K242" s="1">
        <f>'[1]Electricity and CHPs'!G$109</f>
        <v>2.1717387618249567E-3</v>
      </c>
    </row>
    <row r="243" spans="1:11" x14ac:dyDescent="0.35">
      <c r="A243" s="5" t="s">
        <v>5</v>
      </c>
      <c r="B243" s="5" t="str">
        <f t="shared" si="97"/>
        <v>SPS3</v>
      </c>
      <c r="C243" s="5" t="s">
        <v>7</v>
      </c>
      <c r="D243" t="s">
        <v>173</v>
      </c>
      <c r="E243" t="str">
        <f>E199</f>
        <v>PJ/yr.</v>
      </c>
      <c r="F243" s="1">
        <f>'[1]Electricity and CHPs'!B$111</f>
        <v>0</v>
      </c>
      <c r="G243" s="1">
        <f>'[1]Electricity and CHPs'!C$111</f>
        <v>0</v>
      </c>
      <c r="H243" s="1">
        <f>'[1]Electricity and CHPs'!D$111</f>
        <v>0</v>
      </c>
      <c r="I243" s="1">
        <f>'[1]Electricity and CHPs'!E$111</f>
        <v>0</v>
      </c>
      <c r="J243" s="1">
        <f>'[1]Electricity and CHPs'!F$111</f>
        <v>0</v>
      </c>
      <c r="K243" s="1">
        <f>'[1]Electricity and CHPs'!G$111</f>
        <v>0</v>
      </c>
    </row>
    <row r="244" spans="1:11" x14ac:dyDescent="0.35">
      <c r="A244" s="5" t="s">
        <v>5</v>
      </c>
      <c r="B244" s="5" t="str">
        <f t="shared" ref="B244:B307" si="138">B243</f>
        <v>SPS3</v>
      </c>
      <c r="C244" s="5" t="s">
        <v>7</v>
      </c>
      <c r="D244" t="s">
        <v>174</v>
      </c>
      <c r="E244" t="str">
        <f>E200</f>
        <v>PJ/yr.</v>
      </c>
      <c r="F244" s="1">
        <f>'[1]Electricity and CHPs'!B$112</f>
        <v>9.0091970433627905E-2</v>
      </c>
      <c r="G244" s="1">
        <f>'[1]Electricity and CHPs'!C$112</f>
        <v>3.7916711986402305E-3</v>
      </c>
      <c r="H244" s="1">
        <f>'[1]Electricity and CHPs'!D$112</f>
        <v>5.9772224077481242E-2</v>
      </c>
      <c r="I244" s="1">
        <f>'[1]Electricity and CHPs'!E$112</f>
        <v>4.3160751133263293</v>
      </c>
      <c r="J244" s="1">
        <f>'[1]Electricity and CHPs'!F$112</f>
        <v>3.4168550580384509</v>
      </c>
      <c r="K244" s="1">
        <f>'[1]Electricity and CHPs'!G$112</f>
        <v>2.2863572754899227E-3</v>
      </c>
    </row>
    <row r="245" spans="1:11" x14ac:dyDescent="0.35">
      <c r="A245" s="5" t="s">
        <v>5</v>
      </c>
      <c r="B245" s="5" t="str">
        <f t="shared" si="138"/>
        <v>SPS3</v>
      </c>
      <c r="C245" s="5" t="s">
        <v>7</v>
      </c>
      <c r="D245" t="s">
        <v>175</v>
      </c>
      <c r="E245" t="str">
        <f>E202</f>
        <v>PJ/yr.</v>
      </c>
      <c r="F245" s="1">
        <f>'[1]Electricity and CHPs'!B$114</f>
        <v>0</v>
      </c>
      <c r="G245" s="1">
        <f>'[1]Electricity and CHPs'!C$114</f>
        <v>0</v>
      </c>
      <c r="H245" s="1">
        <f>'[1]Electricity and CHPs'!D$114</f>
        <v>0</v>
      </c>
      <c r="I245" s="1">
        <f>'[1]Electricity and CHPs'!E$114</f>
        <v>0</v>
      </c>
      <c r="J245" s="1">
        <f>'[1]Electricity and CHPs'!F$114</f>
        <v>0</v>
      </c>
      <c r="K245" s="1">
        <f>'[1]Electricity and CHPs'!G$114</f>
        <v>0</v>
      </c>
    </row>
    <row r="246" spans="1:11" x14ac:dyDescent="0.35">
      <c r="A246" s="5" t="s">
        <v>5</v>
      </c>
      <c r="B246" s="5" t="str">
        <f t="shared" si="138"/>
        <v>SPS3</v>
      </c>
      <c r="C246" s="5" t="s">
        <v>7</v>
      </c>
      <c r="D246" t="s">
        <v>176</v>
      </c>
      <c r="E246" t="str">
        <f>E226</f>
        <v>PJ/yr.</v>
      </c>
      <c r="F246" s="1">
        <f>'[1]Electricity and CHPs'!B$115</f>
        <v>1.4243465836941875</v>
      </c>
      <c r="G246" s="1">
        <f>'[1]Electricity and CHPs'!C$115</f>
        <v>1.5783459579603825</v>
      </c>
      <c r="H246" s="1">
        <f>'[1]Electricity and CHPs'!D$115</f>
        <v>1.5538807132812142</v>
      </c>
      <c r="I246" s="1">
        <f>'[1]Electricity and CHPs'!E$115</f>
        <v>1.3872757880190192</v>
      </c>
      <c r="J246" s="1">
        <f>'[1]Electricity and CHPs'!F$115</f>
        <v>2.6346580009737188</v>
      </c>
      <c r="K246" s="1">
        <f>'[1]Electricity and CHPs'!G$115</f>
        <v>3.4931171319548175</v>
      </c>
    </row>
    <row r="247" spans="1:11" x14ac:dyDescent="0.35">
      <c r="A247" s="5" t="s">
        <v>5</v>
      </c>
      <c r="B247" s="5" t="str">
        <f t="shared" si="138"/>
        <v>SPS3</v>
      </c>
      <c r="C247" s="5" t="s">
        <v>7</v>
      </c>
      <c r="D247" t="s">
        <v>177</v>
      </c>
      <c r="E247" t="str">
        <f>E228</f>
        <v>PJ/yr.</v>
      </c>
      <c r="F247" s="1">
        <f>'[1]Electricity and CHPs'!B$116</f>
        <v>0.69261183781650215</v>
      </c>
      <c r="G247" s="1">
        <f>'[1]Electricity and CHPs'!C$116</f>
        <v>0.75023038682846743</v>
      </c>
      <c r="H247" s="1">
        <f>'[1]Electricity and CHPs'!D$116</f>
        <v>1.124661928183739E-2</v>
      </c>
      <c r="I247" s="1">
        <f>'[1]Electricity and CHPs'!E$116</f>
        <v>8.041776904332703E-3</v>
      </c>
      <c r="J247" s="1">
        <f>'[1]Electricity and CHPs'!F$116</f>
        <v>4.1539808758773175E-4</v>
      </c>
      <c r="K247" s="1">
        <f>'[1]Electricity and CHPs'!G$116</f>
        <v>3.6608886653123829E-4</v>
      </c>
    </row>
    <row r="248" spans="1:11" x14ac:dyDescent="0.35">
      <c r="A248" s="5" t="s">
        <v>5</v>
      </c>
      <c r="B248" s="5" t="str">
        <f t="shared" si="138"/>
        <v>SPS3</v>
      </c>
      <c r="C248" s="5" t="s">
        <v>7</v>
      </c>
      <c r="D248" t="s">
        <v>178</v>
      </c>
      <c r="E248" t="str">
        <f>E230</f>
        <v>PJ/yr.</v>
      </c>
      <c r="F248" s="1">
        <f>'[1]Electricity and CHPs'!B$118</f>
        <v>0</v>
      </c>
      <c r="G248" s="1">
        <f>'[1]Electricity and CHPs'!C$118</f>
        <v>0</v>
      </c>
      <c r="H248" s="1">
        <f>'[1]Electricity and CHPs'!D$118</f>
        <v>0</v>
      </c>
      <c r="I248" s="1">
        <f>'[1]Electricity and CHPs'!E$118</f>
        <v>2.3116675722595944E-4</v>
      </c>
      <c r="J248" s="1">
        <f>'[1]Electricity and CHPs'!F$118</f>
        <v>8.2706486261698692E-4</v>
      </c>
      <c r="K248" s="1">
        <f>'[1]Electricity and CHPs'!G$118</f>
        <v>1.2074583629830786E-4</v>
      </c>
    </row>
    <row r="249" spans="1:11" x14ac:dyDescent="0.35">
      <c r="A249" s="5" t="s">
        <v>5</v>
      </c>
      <c r="B249" s="5" t="str">
        <f t="shared" si="138"/>
        <v>SPS3</v>
      </c>
      <c r="C249" s="5" t="s">
        <v>7</v>
      </c>
      <c r="D249" t="s">
        <v>839</v>
      </c>
      <c r="E249" t="str">
        <f>E172</f>
        <v>PJ/yr.</v>
      </c>
      <c r="F249" s="1">
        <f>SUM(F250:F259)</f>
        <v>1.5751911723141543</v>
      </c>
      <c r="G249" s="1">
        <f t="shared" ref="G249:K249" si="139">SUM(G250:G259)</f>
        <v>1.3177647182524084</v>
      </c>
      <c r="H249" s="1">
        <f t="shared" si="139"/>
        <v>0.16767259771464943</v>
      </c>
      <c r="I249" s="1">
        <f t="shared" si="139"/>
        <v>3.9410957336350951</v>
      </c>
      <c r="J249" s="1">
        <f t="shared" si="139"/>
        <v>2.3112778489008741</v>
      </c>
      <c r="K249" s="1">
        <f t="shared" si="139"/>
        <v>9.5269994955414158E-7</v>
      </c>
    </row>
    <row r="250" spans="1:11" x14ac:dyDescent="0.35">
      <c r="A250" s="5" t="s">
        <v>5</v>
      </c>
      <c r="B250" s="5" t="str">
        <f t="shared" si="138"/>
        <v>SPS3</v>
      </c>
      <c r="C250" s="5" t="s">
        <v>7</v>
      </c>
      <c r="D250" t="s">
        <v>569</v>
      </c>
      <c r="E250" t="str">
        <f>E172</f>
        <v>PJ/yr.</v>
      </c>
      <c r="F250" s="1">
        <f t="shared" ref="F250:K252" si="140">F239-F261</f>
        <v>0.75899067477163262</v>
      </c>
      <c r="G250" s="1">
        <f t="shared" si="140"/>
        <v>0.57436755242295001</v>
      </c>
      <c r="H250" s="1">
        <f t="shared" si="140"/>
        <v>6.2335300610786924E-2</v>
      </c>
      <c r="I250" s="1">
        <f t="shared" si="140"/>
        <v>2.4086440975065768E-2</v>
      </c>
      <c r="J250" s="1">
        <f t="shared" si="140"/>
        <v>4.1466166964638229E-3</v>
      </c>
      <c r="K250" s="1">
        <f t="shared" si="140"/>
        <v>1.1954555292860089E-7</v>
      </c>
    </row>
    <row r="251" spans="1:11" x14ac:dyDescent="0.35">
      <c r="A251" s="5" t="s">
        <v>5</v>
      </c>
      <c r="B251" s="5" t="str">
        <f t="shared" si="138"/>
        <v>SPS3</v>
      </c>
      <c r="C251" s="5" t="s">
        <v>7</v>
      </c>
      <c r="D251" t="s">
        <v>570</v>
      </c>
      <c r="E251" t="str">
        <f>E173</f>
        <v>PJ/yr.</v>
      </c>
      <c r="F251" s="1">
        <f t="shared" si="140"/>
        <v>0</v>
      </c>
      <c r="G251" s="1">
        <f t="shared" si="140"/>
        <v>0</v>
      </c>
      <c r="H251" s="1">
        <f t="shared" si="140"/>
        <v>0</v>
      </c>
      <c r="I251" s="1">
        <f t="shared" si="140"/>
        <v>0</v>
      </c>
      <c r="J251" s="1">
        <f t="shared" si="140"/>
        <v>2.3502238085927992E-4</v>
      </c>
      <c r="K251" s="1">
        <f t="shared" si="140"/>
        <v>7.8351127481943346E-8</v>
      </c>
    </row>
    <row r="252" spans="1:11" x14ac:dyDescent="0.35">
      <c r="A252" s="5" t="s">
        <v>5</v>
      </c>
      <c r="B252" s="5" t="str">
        <f t="shared" si="138"/>
        <v>SPS3</v>
      </c>
      <c r="C252" s="5" t="s">
        <v>7</v>
      </c>
      <c r="D252" t="s">
        <v>571</v>
      </c>
      <c r="E252" t="str">
        <f>E174</f>
        <v>PJ/yr.</v>
      </c>
      <c r="F252" s="1">
        <f t="shared" si="140"/>
        <v>0</v>
      </c>
      <c r="G252" s="1">
        <f t="shared" si="140"/>
        <v>0</v>
      </c>
      <c r="H252" s="1">
        <f t="shared" si="140"/>
        <v>0</v>
      </c>
      <c r="I252" s="1">
        <f t="shared" si="140"/>
        <v>0</v>
      </c>
      <c r="J252" s="1">
        <f t="shared" si="140"/>
        <v>3.0833529193199558E-4</v>
      </c>
      <c r="K252" s="1">
        <f t="shared" si="140"/>
        <v>8.0203667486154935E-8</v>
      </c>
    </row>
    <row r="253" spans="1:11" x14ac:dyDescent="0.35">
      <c r="A253" s="5" t="s">
        <v>5</v>
      </c>
      <c r="B253" s="5" t="str">
        <f t="shared" si="138"/>
        <v>SPS3</v>
      </c>
      <c r="C253" s="5" t="s">
        <v>7</v>
      </c>
      <c r="D253" t="s">
        <v>572</v>
      </c>
      <c r="E253" t="str">
        <f>E197</f>
        <v>PJ/yr.</v>
      </c>
      <c r="F253" s="1">
        <f>F242-F264</f>
        <v>5.3784280220443785E-2</v>
      </c>
      <c r="G253" s="1">
        <f t="shared" ref="G253:K253" si="141">G242-G264</f>
        <v>4.328336732411126E-3</v>
      </c>
      <c r="H253" s="1">
        <f t="shared" si="141"/>
        <v>3.4677041520580917E-2</v>
      </c>
      <c r="I253" s="1">
        <f t="shared" si="141"/>
        <v>3.9524856297787958E-2</v>
      </c>
      <c r="J253" s="1">
        <f t="shared" si="141"/>
        <v>1.0408625629430497E-2</v>
      </c>
      <c r="K253" s="1">
        <f t="shared" si="141"/>
        <v>2.9627393802232962E-7</v>
      </c>
    </row>
    <row r="254" spans="1:11" x14ac:dyDescent="0.35">
      <c r="A254" s="5" t="s">
        <v>5</v>
      </c>
      <c r="B254" s="5" t="str">
        <f t="shared" si="138"/>
        <v>SPS3</v>
      </c>
      <c r="C254" s="5" t="s">
        <v>7</v>
      </c>
      <c r="D254" t="s">
        <v>573</v>
      </c>
      <c r="E254" t="str">
        <f>E199</f>
        <v>PJ/yr.</v>
      </c>
      <c r="F254" s="1">
        <f t="shared" ref="F254:K254" si="142">F243-F265</f>
        <v>0</v>
      </c>
      <c r="G254" s="1">
        <f t="shared" si="142"/>
        <v>0</v>
      </c>
      <c r="H254" s="1">
        <f t="shared" si="142"/>
        <v>0</v>
      </c>
      <c r="I254" s="1">
        <f t="shared" si="142"/>
        <v>0</v>
      </c>
      <c r="J254" s="1">
        <f t="shared" si="142"/>
        <v>0</v>
      </c>
      <c r="K254" s="1">
        <f t="shared" si="142"/>
        <v>0</v>
      </c>
    </row>
    <row r="255" spans="1:11" x14ac:dyDescent="0.35">
      <c r="A255" s="5" t="s">
        <v>5</v>
      </c>
      <c r="B255" s="5" t="str">
        <f t="shared" si="138"/>
        <v>SPS3</v>
      </c>
      <c r="C255" s="5" t="s">
        <v>7</v>
      </c>
      <c r="D255" t="s">
        <v>574</v>
      </c>
      <c r="E255" t="str">
        <f>E201</f>
        <v>PJ/yr.</v>
      </c>
      <c r="F255" s="1">
        <f t="shared" ref="F255:K255" si="143">F244-F266</f>
        <v>8.7756797124396324E-2</v>
      </c>
      <c r="G255" s="1">
        <f t="shared" si="143"/>
        <v>3.7164774733941374E-3</v>
      </c>
      <c r="H255" s="1">
        <f t="shared" si="143"/>
        <v>5.9470422641596271E-2</v>
      </c>
      <c r="I255" s="1">
        <f t="shared" si="143"/>
        <v>3.8700663909440984</v>
      </c>
      <c r="J255" s="1">
        <f t="shared" si="143"/>
        <v>2.2953445981567748</v>
      </c>
      <c r="K255" s="1">
        <f t="shared" si="143"/>
        <v>3.1191047728364521E-7</v>
      </c>
    </row>
    <row r="256" spans="1:11" x14ac:dyDescent="0.35">
      <c r="A256" s="5" t="s">
        <v>5</v>
      </c>
      <c r="B256" s="5" t="str">
        <f t="shared" si="138"/>
        <v>SPS3</v>
      </c>
      <c r="C256" s="5" t="s">
        <v>7</v>
      </c>
      <c r="D256" t="s">
        <v>575</v>
      </c>
      <c r="E256" t="str">
        <f>E202</f>
        <v>PJ/yr.</v>
      </c>
      <c r="F256" s="1">
        <f t="shared" ref="F256:K257" si="144">F245-F267</f>
        <v>0</v>
      </c>
      <c r="G256" s="1">
        <f t="shared" si="144"/>
        <v>0</v>
      </c>
      <c r="H256" s="1">
        <f t="shared" si="144"/>
        <v>0</v>
      </c>
      <c r="I256" s="1">
        <f t="shared" si="144"/>
        <v>0</v>
      </c>
      <c r="J256" s="1">
        <f t="shared" si="144"/>
        <v>0</v>
      </c>
      <c r="K256" s="1">
        <f t="shared" si="144"/>
        <v>0</v>
      </c>
    </row>
    <row r="257" spans="1:18" x14ac:dyDescent="0.35">
      <c r="A257" s="5" t="s">
        <v>5</v>
      </c>
      <c r="B257" s="5" t="str">
        <f t="shared" si="138"/>
        <v>SPS3</v>
      </c>
      <c r="C257" s="5" t="s">
        <v>7</v>
      </c>
      <c r="D257" t="s">
        <v>576</v>
      </c>
      <c r="E257" t="str">
        <f>E239</f>
        <v>PJ/yr.</v>
      </c>
      <c r="F257" s="1">
        <f t="shared" si="144"/>
        <v>0</v>
      </c>
      <c r="G257" s="1">
        <f t="shared" ref="G257:K257" si="145">G246-G268</f>
        <v>0</v>
      </c>
      <c r="H257" s="1">
        <f t="shared" si="145"/>
        <v>0</v>
      </c>
      <c r="I257" s="1">
        <f t="shared" si="145"/>
        <v>0</v>
      </c>
      <c r="J257" s="1">
        <f t="shared" si="145"/>
        <v>0</v>
      </c>
      <c r="K257" s="1">
        <f t="shared" si="145"/>
        <v>0</v>
      </c>
    </row>
    <row r="258" spans="1:18" x14ac:dyDescent="0.35">
      <c r="A258" s="5" t="s">
        <v>5</v>
      </c>
      <c r="B258" s="5" t="str">
        <f t="shared" si="138"/>
        <v>SPS3</v>
      </c>
      <c r="C258" s="5" t="s">
        <v>7</v>
      </c>
      <c r="D258" t="s">
        <v>577</v>
      </c>
      <c r="E258" t="str">
        <f>E241</f>
        <v>PJ/yr.</v>
      </c>
      <c r="F258" s="1">
        <f t="shared" ref="F258:K258" si="146">F247-F269</f>
        <v>0.67465942019768144</v>
      </c>
      <c r="G258" s="1">
        <f t="shared" si="146"/>
        <v>0.73535235162365309</v>
      </c>
      <c r="H258" s="1">
        <f t="shared" si="146"/>
        <v>1.1189832941685312E-2</v>
      </c>
      <c r="I258" s="1">
        <f t="shared" si="146"/>
        <v>7.2107666580767827E-3</v>
      </c>
      <c r="J258" s="1">
        <f t="shared" si="146"/>
        <v>2.7905244449453765E-4</v>
      </c>
      <c r="K258" s="1">
        <f t="shared" si="146"/>
        <v>4.9942742681567155E-8</v>
      </c>
    </row>
    <row r="259" spans="1:18" x14ac:dyDescent="0.35">
      <c r="A259" s="5" t="s">
        <v>5</v>
      </c>
      <c r="B259" s="5" t="str">
        <f t="shared" si="138"/>
        <v>SPS3</v>
      </c>
      <c r="C259" s="5" t="s">
        <v>7</v>
      </c>
      <c r="D259" t="s">
        <v>578</v>
      </c>
      <c r="E259" t="str">
        <f>E243</f>
        <v>PJ/yr.</v>
      </c>
      <c r="F259" s="1">
        <f t="shared" ref="F259:K259" si="147">F248-F270</f>
        <v>0</v>
      </c>
      <c r="G259" s="1">
        <f t="shared" si="147"/>
        <v>0</v>
      </c>
      <c r="H259" s="1">
        <f t="shared" si="147"/>
        <v>0</v>
      </c>
      <c r="I259" s="1">
        <f t="shared" si="147"/>
        <v>2.0727876006639793E-4</v>
      </c>
      <c r="J259" s="1">
        <f t="shared" si="147"/>
        <v>5.5559830091915269E-4</v>
      </c>
      <c r="K259" s="1">
        <f t="shared" si="147"/>
        <v>1.6472443669900421E-8</v>
      </c>
    </row>
    <row r="260" spans="1:18" x14ac:dyDescent="0.35">
      <c r="A260" s="5" t="s">
        <v>5</v>
      </c>
      <c r="B260" s="5" t="str">
        <f t="shared" si="138"/>
        <v>SPS3</v>
      </c>
      <c r="C260" s="5" t="s">
        <v>7</v>
      </c>
      <c r="D260" t="s">
        <v>840</v>
      </c>
      <c r="E260" t="str">
        <f>E173</f>
        <v>PJ/yr.</v>
      </c>
      <c r="F260" s="1">
        <f>SUM(F261:F270)</f>
        <v>1.4662617914394191</v>
      </c>
      <c r="G260" s="1">
        <f t="shared" ref="G260:K260" si="148">SUM(G261:G270)</f>
        <v>1.6050076662238186</v>
      </c>
      <c r="H260" s="1">
        <f t="shared" si="148"/>
        <v>1.554731620816441</v>
      </c>
      <c r="I260" s="1">
        <f t="shared" si="148"/>
        <v>1.8414703406132049</v>
      </c>
      <c r="J260" s="1">
        <f t="shared" si="148"/>
        <v>3.7639534824960559</v>
      </c>
      <c r="K260" s="1">
        <f t="shared" si="148"/>
        <v>3.5000996332253571</v>
      </c>
      <c r="M260" s="1"/>
      <c r="N260" s="1"/>
      <c r="O260" s="1"/>
      <c r="P260" s="1"/>
      <c r="Q260" s="1"/>
      <c r="R260" s="1"/>
    </row>
    <row r="261" spans="1:18" x14ac:dyDescent="0.35">
      <c r="A261" s="5" t="s">
        <v>5</v>
      </c>
      <c r="B261" s="5" t="str">
        <f t="shared" si="138"/>
        <v>SPS3</v>
      </c>
      <c r="C261" s="5" t="s">
        <v>7</v>
      </c>
      <c r="D261" t="s">
        <v>630</v>
      </c>
      <c r="E261" t="str">
        <f>E175</f>
        <v>PJ/yr.</v>
      </c>
      <c r="F261" s="1">
        <f t="shared" ref="F261:K270" si="149">F239*IFERROR(F118/F86,0)</f>
        <v>2.0196438609422204E-2</v>
      </c>
      <c r="G261" s="1">
        <f t="shared" si="149"/>
        <v>1.1620906150069945E-2</v>
      </c>
      <c r="H261" s="1">
        <f t="shared" si="149"/>
        <v>3.1634016364797464E-4</v>
      </c>
      <c r="I261" s="1">
        <f t="shared" si="149"/>
        <v>2.7758600708148104E-3</v>
      </c>
      <c r="J261" s="1">
        <f t="shared" si="149"/>
        <v>2.0260461117422783E-3</v>
      </c>
      <c r="K261" s="1">
        <f t="shared" si="149"/>
        <v>8.7616985348062276E-4</v>
      </c>
    </row>
    <row r="262" spans="1:18" x14ac:dyDescent="0.35">
      <c r="A262" s="5" t="s">
        <v>5</v>
      </c>
      <c r="B262" s="5" t="str">
        <f t="shared" si="138"/>
        <v>SPS3</v>
      </c>
      <c r="C262" s="5" t="s">
        <v>7</v>
      </c>
      <c r="D262" t="s">
        <v>631</v>
      </c>
      <c r="E262" t="str">
        <f>E176</f>
        <v>PJ/yr.</v>
      </c>
      <c r="F262" s="1">
        <f t="shared" si="149"/>
        <v>0</v>
      </c>
      <c r="G262" s="1">
        <f t="shared" si="149"/>
        <v>0</v>
      </c>
      <c r="H262" s="1">
        <f t="shared" si="149"/>
        <v>0</v>
      </c>
      <c r="I262" s="1">
        <f t="shared" si="149"/>
        <v>0</v>
      </c>
      <c r="J262" s="1">
        <f t="shared" si="149"/>
        <v>1.1483245637785256E-4</v>
      </c>
      <c r="K262" s="1">
        <f t="shared" si="149"/>
        <v>5.7424884660372893E-4</v>
      </c>
    </row>
    <row r="263" spans="1:18" x14ac:dyDescent="0.35">
      <c r="A263" s="5" t="s">
        <v>5</v>
      </c>
      <c r="B263" s="5" t="str">
        <f t="shared" si="138"/>
        <v>SPS3</v>
      </c>
      <c r="C263" s="5" t="s">
        <v>7</v>
      </c>
      <c r="D263" t="s">
        <v>632</v>
      </c>
      <c r="E263" t="str">
        <f>E177</f>
        <v>PJ/yr.</v>
      </c>
      <c r="F263" s="1">
        <f t="shared" si="149"/>
        <v>0</v>
      </c>
      <c r="G263" s="1">
        <f t="shared" si="149"/>
        <v>0</v>
      </c>
      <c r="H263" s="1">
        <f t="shared" si="149"/>
        <v>0</v>
      </c>
      <c r="I263" s="1">
        <f t="shared" si="149"/>
        <v>0</v>
      </c>
      <c r="J263" s="1">
        <f t="shared" si="149"/>
        <v>1.5065330727686424E-4</v>
      </c>
      <c r="K263" s="1">
        <f t="shared" si="149"/>
        <v>5.8782642991241302E-4</v>
      </c>
    </row>
    <row r="264" spans="1:18" x14ac:dyDescent="0.35">
      <c r="A264" s="5" t="s">
        <v>5</v>
      </c>
      <c r="B264" s="5" t="str">
        <f t="shared" si="138"/>
        <v>SPS3</v>
      </c>
      <c r="C264" s="5" t="s">
        <v>7</v>
      </c>
      <c r="D264" t="s">
        <v>633</v>
      </c>
      <c r="E264" t="str">
        <f>E203</f>
        <v>PJ/yr.</v>
      </c>
      <c r="F264" s="1">
        <f t="shared" si="149"/>
        <v>1.4311782077572799E-3</v>
      </c>
      <c r="G264" s="1">
        <f t="shared" si="149"/>
        <v>8.7573183305819874E-5</v>
      </c>
      <c r="H264" s="1">
        <f t="shared" si="149"/>
        <v>1.7597959554156541E-4</v>
      </c>
      <c r="I264" s="1">
        <f t="shared" si="149"/>
        <v>4.5550718977245379E-3</v>
      </c>
      <c r="J264" s="1">
        <f t="shared" si="149"/>
        <v>5.085677560472986E-3</v>
      </c>
      <c r="K264" s="1">
        <f t="shared" si="149"/>
        <v>2.1714424878869344E-3</v>
      </c>
    </row>
    <row r="265" spans="1:18" x14ac:dyDescent="0.35">
      <c r="A265" s="5" t="s">
        <v>5</v>
      </c>
      <c r="B265" s="5" t="str">
        <f t="shared" si="138"/>
        <v>SPS3</v>
      </c>
      <c r="C265" s="5" t="s">
        <v>7</v>
      </c>
      <c r="D265" t="s">
        <v>634</v>
      </c>
      <c r="E265" t="str">
        <f>E205</f>
        <v>PJ/yr.</v>
      </c>
      <c r="F265" s="1">
        <f t="shared" si="149"/>
        <v>0</v>
      </c>
      <c r="G265" s="1">
        <f t="shared" si="149"/>
        <v>0</v>
      </c>
      <c r="H265" s="1">
        <f t="shared" si="149"/>
        <v>0</v>
      </c>
      <c r="I265" s="1">
        <f t="shared" si="149"/>
        <v>0</v>
      </c>
      <c r="J265" s="1">
        <f t="shared" si="149"/>
        <v>0</v>
      </c>
      <c r="K265" s="1">
        <f t="shared" si="149"/>
        <v>0</v>
      </c>
    </row>
    <row r="266" spans="1:18" x14ac:dyDescent="0.35">
      <c r="A266" s="5" t="s">
        <v>5</v>
      </c>
      <c r="B266" s="5" t="str">
        <f t="shared" si="138"/>
        <v>SPS3</v>
      </c>
      <c r="C266" s="5" t="s">
        <v>7</v>
      </c>
      <c r="D266" t="s">
        <v>635</v>
      </c>
      <c r="E266" t="str">
        <f>E207</f>
        <v>PJ/yr.</v>
      </c>
      <c r="F266" s="1">
        <f t="shared" si="149"/>
        <v>2.3351733092315877E-3</v>
      </c>
      <c r="G266" s="1">
        <f t="shared" si="149"/>
        <v>7.5193725246093198E-5</v>
      </c>
      <c r="H266" s="1">
        <f t="shared" si="149"/>
        <v>3.0180143588497057E-4</v>
      </c>
      <c r="I266" s="1">
        <f t="shared" si="149"/>
        <v>0.44600872238223105</v>
      </c>
      <c r="J266" s="1">
        <f t="shared" si="149"/>
        <v>1.1215104598816759</v>
      </c>
      <c r="K266" s="1">
        <f t="shared" si="149"/>
        <v>2.286045365012639E-3</v>
      </c>
    </row>
    <row r="267" spans="1:18" x14ac:dyDescent="0.35">
      <c r="A267" s="5" t="s">
        <v>5</v>
      </c>
      <c r="B267" s="5" t="str">
        <f t="shared" si="138"/>
        <v>SPS3</v>
      </c>
      <c r="C267" s="5" t="s">
        <v>7</v>
      </c>
      <c r="D267" t="s">
        <v>636</v>
      </c>
      <c r="E267" t="str">
        <f>E208</f>
        <v>PJ/yr.</v>
      </c>
      <c r="F267" s="1">
        <f t="shared" si="149"/>
        <v>0</v>
      </c>
      <c r="G267" s="1">
        <f t="shared" si="149"/>
        <v>0</v>
      </c>
      <c r="H267" s="1">
        <f t="shared" si="149"/>
        <v>0</v>
      </c>
      <c r="I267" s="1">
        <f t="shared" si="149"/>
        <v>0</v>
      </c>
      <c r="J267" s="1">
        <f t="shared" si="149"/>
        <v>0</v>
      </c>
      <c r="K267" s="1">
        <f t="shared" si="149"/>
        <v>0</v>
      </c>
    </row>
    <row r="268" spans="1:18" x14ac:dyDescent="0.35">
      <c r="A268" s="5" t="s">
        <v>5</v>
      </c>
      <c r="B268" s="5" t="str">
        <f t="shared" si="138"/>
        <v>SPS3</v>
      </c>
      <c r="C268" s="5" t="s">
        <v>7</v>
      </c>
      <c r="D268" t="s">
        <v>637</v>
      </c>
      <c r="E268" t="str">
        <f>E231</f>
        <v>PJ/yr.</v>
      </c>
      <c r="F268" s="1">
        <f t="shared" si="149"/>
        <v>1.4243465836941875</v>
      </c>
      <c r="G268" s="1">
        <f t="shared" si="149"/>
        <v>1.5783459579603825</v>
      </c>
      <c r="H268" s="1">
        <f t="shared" si="149"/>
        <v>1.5538807132812142</v>
      </c>
      <c r="I268" s="1">
        <f t="shared" si="149"/>
        <v>1.3872757880190192</v>
      </c>
      <c r="J268" s="1">
        <f t="shared" si="149"/>
        <v>2.6346580009737188</v>
      </c>
      <c r="K268" s="1">
        <f t="shared" si="149"/>
        <v>3.4931171319548175</v>
      </c>
    </row>
    <row r="269" spans="1:18" x14ac:dyDescent="0.35">
      <c r="A269" s="5" t="s">
        <v>5</v>
      </c>
      <c r="B269" s="5" t="str">
        <f t="shared" si="138"/>
        <v>SPS3</v>
      </c>
      <c r="C269" s="5" t="s">
        <v>7</v>
      </c>
      <c r="D269" t="s">
        <v>638</v>
      </c>
      <c r="E269" t="str">
        <f>E233</f>
        <v>PJ/yr.</v>
      </c>
      <c r="F269" s="1">
        <f t="shared" si="149"/>
        <v>1.7952417618820674E-2</v>
      </c>
      <c r="G269" s="1">
        <f t="shared" si="149"/>
        <v>1.4878035204814358E-2</v>
      </c>
      <c r="H269" s="1">
        <f t="shared" si="149"/>
        <v>5.678634015207874E-5</v>
      </c>
      <c r="I269" s="1">
        <f t="shared" si="149"/>
        <v>8.3101024625592036E-4</v>
      </c>
      <c r="J269" s="1">
        <f t="shared" si="149"/>
        <v>1.363456430931941E-4</v>
      </c>
      <c r="K269" s="1">
        <f t="shared" si="149"/>
        <v>3.6603892378855673E-4</v>
      </c>
    </row>
    <row r="270" spans="1:18" x14ac:dyDescent="0.35">
      <c r="A270" s="5" t="s">
        <v>5</v>
      </c>
      <c r="B270" s="5" t="str">
        <f t="shared" si="138"/>
        <v>SPS3</v>
      </c>
      <c r="C270" s="5" t="s">
        <v>7</v>
      </c>
      <c r="D270" t="s">
        <v>639</v>
      </c>
      <c r="E270" t="str">
        <f>E237</f>
        <v>PJ/yr.</v>
      </c>
      <c r="F270" s="1">
        <f t="shared" si="149"/>
        <v>0</v>
      </c>
      <c r="G270" s="1">
        <f t="shared" si="149"/>
        <v>0</v>
      </c>
      <c r="H270" s="1">
        <f t="shared" si="149"/>
        <v>0</v>
      </c>
      <c r="I270" s="1">
        <f t="shared" si="149"/>
        <v>2.3887997159561526E-5</v>
      </c>
      <c r="J270" s="1">
        <f t="shared" si="149"/>
        <v>2.7146656169783423E-4</v>
      </c>
      <c r="K270" s="1">
        <f t="shared" si="149"/>
        <v>1.2072936385463796E-4</v>
      </c>
    </row>
    <row r="271" spans="1:18" x14ac:dyDescent="0.35">
      <c r="A271" s="5" t="s">
        <v>5</v>
      </c>
      <c r="B271" s="5" t="str">
        <f t="shared" si="138"/>
        <v>SPS3</v>
      </c>
      <c r="C271" s="5" t="s">
        <v>7</v>
      </c>
      <c r="D271" t="s">
        <v>841</v>
      </c>
      <c r="E271" t="str">
        <f>E177</f>
        <v>PJ/yr.</v>
      </c>
      <c r="F271" s="1">
        <f>SUM(F272:F273)</f>
        <v>1.9349466133405022</v>
      </c>
      <c r="G271" s="1">
        <f t="shared" ref="G271:K271" si="150">SUM(G272:G273)</f>
        <v>1.8588123413029469</v>
      </c>
      <c r="H271" s="1">
        <f t="shared" si="150"/>
        <v>2.5503141907149116</v>
      </c>
      <c r="I271" s="1">
        <f t="shared" si="150"/>
        <v>2.2433623366317592</v>
      </c>
      <c r="J271" s="1">
        <f t="shared" si="150"/>
        <v>1.6755946318693233</v>
      </c>
      <c r="K271" s="1">
        <f t="shared" si="150"/>
        <v>2.0316582820936708</v>
      </c>
    </row>
    <row r="272" spans="1:18" x14ac:dyDescent="0.35">
      <c r="A272" s="5" t="s">
        <v>5</v>
      </c>
      <c r="B272" s="5" t="str">
        <f t="shared" si="138"/>
        <v>SPS3</v>
      </c>
      <c r="C272" s="5" t="s">
        <v>7</v>
      </c>
      <c r="D272" t="s">
        <v>179</v>
      </c>
      <c r="E272" t="str">
        <f>E178</f>
        <v>PJ/yr.</v>
      </c>
      <c r="F272" s="1">
        <f>'[1]Electricity and CHPs'!B$106-F273</f>
        <v>1.9349466133405022</v>
      </c>
      <c r="G272" s="1">
        <f>'[1]Electricity and CHPs'!C$106-G273</f>
        <v>1.8588123413029469</v>
      </c>
      <c r="H272" s="1">
        <f>'[1]Electricity and CHPs'!D$106-H273</f>
        <v>2.5503141907149116</v>
      </c>
      <c r="I272" s="1">
        <f>'[1]Electricity and CHPs'!E$106-I273</f>
        <v>2.2433623366317592</v>
      </c>
      <c r="J272" s="1">
        <f>'[1]Electricity and CHPs'!F$106-J273</f>
        <v>1.6754555528065163</v>
      </c>
      <c r="K272" s="1">
        <f>'[1]Electricity and CHPs'!G$106-K273</f>
        <v>2.4792960296826649E-4</v>
      </c>
    </row>
    <row r="273" spans="1:11" x14ac:dyDescent="0.35">
      <c r="A273" s="5" t="s">
        <v>5</v>
      </c>
      <c r="B273" s="5" t="str">
        <f t="shared" si="138"/>
        <v>SPS3</v>
      </c>
      <c r="C273" s="5" t="s">
        <v>7</v>
      </c>
      <c r="D273" t="s">
        <v>180</v>
      </c>
      <c r="E273" t="str">
        <f>E179</f>
        <v>PJ/yr.</v>
      </c>
      <c r="F273" s="10" cm="1">
        <f t="array" ref="F273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3" s="10" cm="1">
        <f t="array" ref="G273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3" s="10" cm="1">
        <f t="array" ref="H273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3" s="10" cm="1">
        <f t="array" ref="I273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3" s="10" cm="1">
        <f t="array" ref="J273">SUMPRODUCT((ISNUMBER(SEARCH("itot*CHPWST*ccs*",[1]OUT_Electricity_CHP!$B$1:$B$10000)))*1,([1]OUT_Electricity_CHP!$C$1:$C$10000="Var_Fout")*1,+([1]OUT_Electricity_CHP!$D$1:$D$10000="ITOT_LTH_CHP")*1,[1]OUT_Electricity_CHP!I$1:I$10000)</f>
        <v>1.3907906280702639E-4</v>
      </c>
      <c r="K273" s="10" cm="1">
        <f t="array" ref="K273">SUMPRODUCT((ISNUMBER(SEARCH("itot*CHPWST*ccs*",[1]OUT_Electricity_CHP!$B$1:$B$10000)))*1,([1]OUT_Electricity_CHP!$C$1:$C$10000="Var_Fout")*1,+([1]OUT_Electricity_CHP!$D$1:$D$10000="ITOT_LTH_CHP")*1,[1]OUT_Electricity_CHP!J$1:J$10000)</f>
        <v>2.0314103524907026</v>
      </c>
    </row>
    <row r="274" spans="1:11" x14ac:dyDescent="0.35">
      <c r="A274" s="5" t="s">
        <v>5</v>
      </c>
      <c r="B274" s="5" t="str">
        <f t="shared" si="138"/>
        <v>SPS3</v>
      </c>
      <c r="C274" s="5" t="s">
        <v>7</v>
      </c>
      <c r="D274" t="s">
        <v>842</v>
      </c>
      <c r="E274" t="str">
        <f>E179</f>
        <v>PJ/yr.</v>
      </c>
      <c r="F274" s="10">
        <f>SUM(F275:F276)</f>
        <v>0</v>
      </c>
      <c r="G274" s="10">
        <f t="shared" ref="G274:K274" si="151">SUM(G275:G276)</f>
        <v>0</v>
      </c>
      <c r="H274" s="10">
        <f t="shared" si="151"/>
        <v>0</v>
      </c>
      <c r="I274" s="10">
        <f t="shared" si="151"/>
        <v>0</v>
      </c>
      <c r="J274" s="10">
        <f t="shared" si="151"/>
        <v>0</v>
      </c>
      <c r="K274" s="10">
        <f t="shared" si="151"/>
        <v>0</v>
      </c>
    </row>
    <row r="275" spans="1:11" x14ac:dyDescent="0.35">
      <c r="A275" s="5" t="s">
        <v>5</v>
      </c>
      <c r="B275" s="5" t="str">
        <f t="shared" si="138"/>
        <v>SPS3</v>
      </c>
      <c r="C275" s="5" t="s">
        <v>7</v>
      </c>
      <c r="D275" t="s">
        <v>181</v>
      </c>
      <c r="E275" t="str">
        <f>E180</f>
        <v>PJ/yr.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 x14ac:dyDescent="0.35">
      <c r="A276" s="5" t="s">
        <v>5</v>
      </c>
      <c r="B276" s="5" t="str">
        <f t="shared" si="138"/>
        <v>SPS3</v>
      </c>
      <c r="C276" s="5" t="s">
        <v>7</v>
      </c>
      <c r="D276" t="s">
        <v>182</v>
      </c>
      <c r="E276" t="str">
        <f>E181</f>
        <v>PJ/yr.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x14ac:dyDescent="0.35">
      <c r="A277" s="5" t="s">
        <v>5</v>
      </c>
      <c r="B277" s="5" t="str">
        <f t="shared" si="138"/>
        <v>SPS3</v>
      </c>
      <c r="C277" s="5" t="s">
        <v>7</v>
      </c>
      <c r="D277" t="s">
        <v>843</v>
      </c>
      <c r="E277" t="str">
        <f>E182</f>
        <v>PJ/yr.</v>
      </c>
      <c r="F277" s="1">
        <f>SUM(F278:F279)</f>
        <v>1.9349466133405022</v>
      </c>
      <c r="G277" s="1">
        <f t="shared" ref="G277:K277" si="152">SUM(G278:G279)</f>
        <v>1.8588123413029469</v>
      </c>
      <c r="H277" s="1">
        <f t="shared" si="152"/>
        <v>2.5503141907149116</v>
      </c>
      <c r="I277" s="1">
        <f t="shared" si="152"/>
        <v>2.2433623366317592</v>
      </c>
      <c r="J277" s="1">
        <f t="shared" si="152"/>
        <v>1.6755946318693233</v>
      </c>
      <c r="K277" s="1">
        <f t="shared" si="152"/>
        <v>2.0316582820936708</v>
      </c>
    </row>
    <row r="278" spans="1:11" x14ac:dyDescent="0.35">
      <c r="A278" s="5" t="s">
        <v>5</v>
      </c>
      <c r="B278" s="5" t="str">
        <f t="shared" si="138"/>
        <v>SPS3</v>
      </c>
      <c r="C278" s="5" t="s">
        <v>7</v>
      </c>
      <c r="D278" t="s">
        <v>183</v>
      </c>
      <c r="E278" t="str">
        <f>E183</f>
        <v>PJ/yr.</v>
      </c>
      <c r="F278" s="1">
        <f>F272</f>
        <v>1.9349466133405022</v>
      </c>
      <c r="G278" s="1">
        <f t="shared" ref="G278:K278" si="153">G272</f>
        <v>1.8588123413029469</v>
      </c>
      <c r="H278" s="1">
        <f t="shared" si="153"/>
        <v>2.5503141907149116</v>
      </c>
      <c r="I278" s="1">
        <f t="shared" si="153"/>
        <v>2.2433623366317592</v>
      </c>
      <c r="J278" s="1">
        <f t="shared" si="153"/>
        <v>1.6754555528065163</v>
      </c>
      <c r="K278" s="1">
        <f t="shared" si="153"/>
        <v>2.4792960296826649E-4</v>
      </c>
    </row>
    <row r="279" spans="1:11" x14ac:dyDescent="0.35">
      <c r="A279" s="5" t="s">
        <v>5</v>
      </c>
      <c r="B279" s="5" t="str">
        <f t="shared" si="138"/>
        <v>SPS3</v>
      </c>
      <c r="C279" s="5" t="s">
        <v>7</v>
      </c>
      <c r="D279" t="s">
        <v>184</v>
      </c>
      <c r="E279" t="str">
        <f>E185</f>
        <v>PJ/yr.</v>
      </c>
      <c r="F279" s="1">
        <f t="shared" ref="F279:K279" si="154">F273</f>
        <v>0</v>
      </c>
      <c r="G279" s="1">
        <f t="shared" si="154"/>
        <v>0</v>
      </c>
      <c r="H279" s="1">
        <f t="shared" si="154"/>
        <v>0</v>
      </c>
      <c r="I279" s="1">
        <f t="shared" si="154"/>
        <v>0</v>
      </c>
      <c r="J279" s="1">
        <f t="shared" si="154"/>
        <v>1.3907906280702639E-4</v>
      </c>
      <c r="K279" s="1">
        <f t="shared" si="154"/>
        <v>2.0314103524907026</v>
      </c>
    </row>
    <row r="280" spans="1:11" x14ac:dyDescent="0.35">
      <c r="A280" s="5" t="s">
        <v>5</v>
      </c>
      <c r="B280" s="5" t="str">
        <f t="shared" si="138"/>
        <v>SPS3</v>
      </c>
      <c r="C280" s="5" t="s">
        <v>7</v>
      </c>
      <c r="D280" t="s">
        <v>844</v>
      </c>
      <c r="E280" t="str">
        <f>E186</f>
        <v>PJ/yr.</v>
      </c>
      <c r="F280" s="1">
        <f>SUM(F281:F285)</f>
        <v>0.66337670784922431</v>
      </c>
      <c r="G280" s="1">
        <f t="shared" ref="G280:K280" si="155">SUM(G281:G285)</f>
        <v>0.57307458490658147</v>
      </c>
      <c r="H280" s="1">
        <f t="shared" si="155"/>
        <v>3.388328844543095</v>
      </c>
      <c r="I280" s="1">
        <f t="shared" si="155"/>
        <v>5.0558458110481235</v>
      </c>
      <c r="J280" s="1">
        <f t="shared" si="155"/>
        <v>7.3634679172492188</v>
      </c>
      <c r="K280" s="1">
        <f t="shared" si="155"/>
        <v>8.2841708362278457</v>
      </c>
    </row>
    <row r="281" spans="1:11" x14ac:dyDescent="0.35">
      <c r="A281" s="5" t="s">
        <v>5</v>
      </c>
      <c r="B281" s="5" t="str">
        <f t="shared" si="138"/>
        <v>SPS3</v>
      </c>
      <c r="C281" s="5" t="s">
        <v>7</v>
      </c>
      <c r="D281" t="s">
        <v>185</v>
      </c>
      <c r="E281" t="str">
        <f>E187</f>
        <v>PJ/yr.</v>
      </c>
      <c r="F281" s="1">
        <f>'[1]Electricity and CHPs'!B$105-F282</f>
        <v>0.65964858063183474</v>
      </c>
      <c r="G281" s="1">
        <f>'[1]Electricity and CHPs'!C$105-G282</f>
        <v>0.57088332156089117</v>
      </c>
      <c r="H281" s="1">
        <f>'[1]Electricity and CHPs'!D$105-H282</f>
        <v>3.386807427138764</v>
      </c>
      <c r="I281" s="1">
        <f>'[1]Electricity and CHPs'!E$105-I282</f>
        <v>5.0415085271533826</v>
      </c>
      <c r="J281" s="1">
        <f>'[1]Electricity and CHPs'!F$105-J282</f>
        <v>5.3577757828729506</v>
      </c>
      <c r="K281" s="1">
        <f>'[1]Electricity and CHPs'!G$105-K282</f>
        <v>3.4276774699242161</v>
      </c>
    </row>
    <row r="282" spans="1:11" x14ac:dyDescent="0.35">
      <c r="A282" s="5" t="s">
        <v>5</v>
      </c>
      <c r="B282" s="5" t="str">
        <f t="shared" si="138"/>
        <v>SPS3</v>
      </c>
      <c r="C282" s="5" t="s">
        <v>7</v>
      </c>
      <c r="D282" t="s">
        <v>186</v>
      </c>
      <c r="E282" t="str">
        <f>E188</f>
        <v>PJ/yr.</v>
      </c>
      <c r="F282" s="1" cm="1">
        <f t="array" ref="F282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2" s="1" cm="1">
        <f t="array" ref="G282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2" s="1" cm="1">
        <f t="array" ref="H282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2" s="1" cm="1">
        <f t="array" ref="I282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2" s="1" cm="1">
        <f t="array" ref="J282">SUMPRODUCT((ISNUMBER(SEARCH("itot*CHPWOD*ccs",[1]OUT_Electricity_CHP!$B$1:$B$10000)))*1,([1]OUT_Electricity_CHP!$C$1:$C$10000="Var_Fout")*1,([1]OUT_Electricity_CHP!$D$1:$D$10000="ITOT_LTH_CHP")*1,[1]OUT_Electricity_CHP!I$1:I$10000)</f>
        <v>1.9994671482499464</v>
      </c>
      <c r="K282" s="1" cm="1">
        <f t="array" ref="K282">SUMPRODUCT((ISNUMBER(SEARCH("itot*CHPWOD*ccs",[1]OUT_Electricity_CHP!$B$1:$B$10000)))*1,([1]OUT_Electricity_CHP!$C$1:$C$10000="Var_Fout")*1,([1]OUT_Electricity_CHP!$D$1:$D$10000="ITOT_LTH_CHP")*1,[1]OUT_Electricity_CHP!J$1:J$10000)</f>
        <v>4.8436094253237965</v>
      </c>
    </row>
    <row r="283" spans="1:11" x14ac:dyDescent="0.35">
      <c r="A283" s="5" t="s">
        <v>5</v>
      </c>
      <c r="B283" s="5" t="str">
        <f t="shared" si="138"/>
        <v>SPS3</v>
      </c>
      <c r="C283" s="5" t="s">
        <v>7</v>
      </c>
      <c r="D283" t="s">
        <v>187</v>
      </c>
      <c r="E283" t="str">
        <f>E210</f>
        <v>PJ/yr.</v>
      </c>
      <c r="F283" s="1">
        <f>'[1]Electricity and CHPs'!B$110</f>
        <v>1.8332549517670279E-3</v>
      </c>
      <c r="G283" s="1">
        <f>'[1]Electricity and CHPs'!C$110</f>
        <v>1.0956245468246458E-3</v>
      </c>
      <c r="H283" s="1">
        <f>'[1]Electricity and CHPs'!D$110</f>
        <v>7.6075460574371277E-4</v>
      </c>
      <c r="I283" s="1">
        <f>'[1]Electricity and CHPs'!E$110</f>
        <v>5.9510669967715478E-3</v>
      </c>
      <c r="J283" s="1">
        <f>'[1]Electricity and CHPs'!F$110</f>
        <v>2.521296522632499E-3</v>
      </c>
      <c r="K283" s="1">
        <f>'[1]Electricity and CHPs'!G$110</f>
        <v>3.8043464671236741E-3</v>
      </c>
    </row>
    <row r="284" spans="1:11" x14ac:dyDescent="0.35">
      <c r="A284" s="5" t="s">
        <v>5</v>
      </c>
      <c r="B284" s="5" t="str">
        <f t="shared" si="138"/>
        <v>SPS3</v>
      </c>
      <c r="C284" s="5" t="s">
        <v>7</v>
      </c>
      <c r="D284" t="s">
        <v>188</v>
      </c>
      <c r="E284" t="str">
        <f>E214</f>
        <v>PJ/yr.</v>
      </c>
      <c r="F284" s="1">
        <f>'[1]Electricity and CHPs'!B$113</f>
        <v>1.8948722656225536E-3</v>
      </c>
      <c r="G284" s="1">
        <f>'[1]Electricity and CHPs'!C$113</f>
        <v>1.0956387988656792E-3</v>
      </c>
      <c r="H284" s="1">
        <f>'[1]Electricity and CHPs'!D$113</f>
        <v>7.6066279858718494E-4</v>
      </c>
      <c r="I284" s="1">
        <f>'[1]Electricity and CHPs'!E$113</f>
        <v>7.610387326693599E-3</v>
      </c>
      <c r="J284" s="1">
        <f>'[1]Electricity and CHPs'!F$113</f>
        <v>3.328742109896061E-3</v>
      </c>
      <c r="K284" s="1">
        <f>'[1]Electricity and CHPs'!G$113</f>
        <v>6.342458080582653E-3</v>
      </c>
    </row>
    <row r="285" spans="1:11" x14ac:dyDescent="0.35">
      <c r="A285" s="5" t="s">
        <v>5</v>
      </c>
      <c r="B285" s="5" t="str">
        <f t="shared" si="138"/>
        <v>SPS3</v>
      </c>
      <c r="C285" s="5" t="s">
        <v>7</v>
      </c>
      <c r="D285" t="s">
        <v>235</v>
      </c>
      <c r="E285" t="str">
        <f>E239</f>
        <v>PJ/yr.</v>
      </c>
      <c r="F285" s="1">
        <f>'[1]Electricity and CHPs'!B$117</f>
        <v>0</v>
      </c>
      <c r="G285" s="1">
        <f>'[1]Electricity and CHPs'!C$117</f>
        <v>0</v>
      </c>
      <c r="H285" s="1">
        <f>'[1]Electricity and CHPs'!D$117</f>
        <v>0</v>
      </c>
      <c r="I285" s="1">
        <f>'[1]Electricity and CHPs'!E$117</f>
        <v>7.7582957127537511E-4</v>
      </c>
      <c r="J285" s="1">
        <f>'[1]Electricity and CHPs'!F$117</f>
        <v>3.7494749379283208E-4</v>
      </c>
      <c r="K285" s="1">
        <f>'[1]Electricity and CHPs'!G$117</f>
        <v>2.7371364321251081E-3</v>
      </c>
    </row>
    <row r="286" spans="1:11" x14ac:dyDescent="0.35">
      <c r="A286" s="5" t="s">
        <v>5</v>
      </c>
      <c r="B286" s="5" t="str">
        <f t="shared" si="138"/>
        <v>SPS3</v>
      </c>
      <c r="C286" s="5" t="s">
        <v>7</v>
      </c>
      <c r="D286" t="s">
        <v>845</v>
      </c>
      <c r="E286" t="str">
        <f>E193</f>
        <v>PJ/yr.</v>
      </c>
      <c r="F286" s="1">
        <f>SUM(F287:F288)</f>
        <v>0</v>
      </c>
      <c r="G286" s="1">
        <f t="shared" ref="G286:K286" si="156">SUM(G287:G288)</f>
        <v>0</v>
      </c>
      <c r="H286" s="1">
        <f t="shared" si="156"/>
        <v>0</v>
      </c>
      <c r="I286" s="1">
        <f t="shared" si="156"/>
        <v>2.6632811724367268E-3</v>
      </c>
      <c r="J286" s="1">
        <f t="shared" si="156"/>
        <v>3.3860158137565921E-3</v>
      </c>
      <c r="K286" s="1">
        <f t="shared" si="156"/>
        <v>1.931860241543053</v>
      </c>
    </row>
    <row r="287" spans="1:11" x14ac:dyDescent="0.35">
      <c r="A287" s="5" t="s">
        <v>5</v>
      </c>
      <c r="B287" s="5" t="str">
        <f t="shared" si="138"/>
        <v>SPS3</v>
      </c>
      <c r="C287" s="5" t="s">
        <v>7</v>
      </c>
      <c r="D287" t="s">
        <v>189</v>
      </c>
      <c r="E287" t="str">
        <f>E194</f>
        <v>PJ/yr.</v>
      </c>
      <c r="F287" s="1">
        <f>'[1]Electricity and CHPs'!B$108</f>
        <v>0</v>
      </c>
      <c r="G287" s="1">
        <f>'[1]Electricity and CHPs'!C$108</f>
        <v>0</v>
      </c>
      <c r="H287" s="1">
        <f>'[1]Electricity and CHPs'!D$108</f>
        <v>0</v>
      </c>
      <c r="I287" s="1">
        <f>'[1]Electricity and CHPs'!E$108</f>
        <v>0</v>
      </c>
      <c r="J287" s="1">
        <f>'[1]Electricity and CHPs'!F$108</f>
        <v>2.8579285188936013E-3</v>
      </c>
      <c r="K287" s="1">
        <f>'[1]Electricity and CHPs'!G$108</f>
        <v>1.9127627285839968</v>
      </c>
    </row>
    <row r="288" spans="1:11" x14ac:dyDescent="0.35">
      <c r="A288" s="5" t="s">
        <v>5</v>
      </c>
      <c r="B288" s="5" t="str">
        <f t="shared" si="138"/>
        <v>SPS3</v>
      </c>
      <c r="C288" s="5" t="s">
        <v>7</v>
      </c>
      <c r="D288" t="s">
        <v>236</v>
      </c>
      <c r="E288" t="str">
        <f>E241</f>
        <v>PJ/yr.</v>
      </c>
      <c r="F288" s="1">
        <f>'[1]Electricity and CHPs'!B$119</f>
        <v>0</v>
      </c>
      <c r="G288" s="1">
        <f>'[1]Electricity and CHPs'!C$119</f>
        <v>0</v>
      </c>
      <c r="H288" s="1">
        <f>'[1]Electricity and CHPs'!D$119</f>
        <v>0</v>
      </c>
      <c r="I288" s="1">
        <f>'[1]Electricity and CHPs'!E$119</f>
        <v>2.6632811724367268E-3</v>
      </c>
      <c r="J288" s="1">
        <f>'[1]Electricity and CHPs'!F$119</f>
        <v>5.2808729486299069E-4</v>
      </c>
      <c r="K288" s="1">
        <f>'[1]Electricity and CHPs'!G$119</f>
        <v>1.9097512959056234E-2</v>
      </c>
    </row>
    <row r="289" spans="1:13" x14ac:dyDescent="0.35">
      <c r="A289" s="5" t="s">
        <v>5</v>
      </c>
      <c r="B289" s="9" t="str">
        <f t="shared" si="138"/>
        <v>SPS3</v>
      </c>
      <c r="C289" s="9" t="s">
        <v>7</v>
      </c>
      <c r="D289" s="2" t="s">
        <v>91</v>
      </c>
      <c r="E289" s="2" t="str">
        <f>E287</f>
        <v>PJ/yr.</v>
      </c>
      <c r="F289" s="3">
        <f>SUM(F290,F292,F296,F308,F356,F377,F385,F387,F395,F399,F393)</f>
        <v>437.35023863795243</v>
      </c>
      <c r="G289" s="3">
        <f t="shared" ref="G289" si="157">SUM(G290,G292,G300,G308,G356,G377,G385,G387,G395,G399,G393)</f>
        <v>421.72616984721935</v>
      </c>
      <c r="H289" s="3">
        <f t="shared" ref="H289" si="158">SUM(H290,H292,H300,H308,H356,H377,H385,H387,H395,H399,H393)</f>
        <v>380.50274681901476</v>
      </c>
      <c r="I289" s="3">
        <f t="shared" ref="I289" si="159">SUM(I290,I292,I300,I308,I356,I377,I385,I387,I395,I399,I393)</f>
        <v>442.70899882705629</v>
      </c>
      <c r="J289" s="3">
        <f t="shared" ref="J289" si="160">SUM(J290,J292,J300,J308,J356,J377,J385,J387,J395,J399,J393)</f>
        <v>352.37843489804845</v>
      </c>
      <c r="K289" s="3">
        <f t="shared" ref="K289" si="161">SUM(K290,K292,K300,K308,K356,K377,K385,K387,K395,K399,K393)</f>
        <v>298.73920945484423</v>
      </c>
    </row>
    <row r="290" spans="1:13" x14ac:dyDescent="0.35">
      <c r="A290" s="5" t="s">
        <v>5</v>
      </c>
      <c r="B290" s="5" t="str">
        <f t="shared" si="138"/>
        <v>SPS3</v>
      </c>
      <c r="C290" s="5" t="s">
        <v>7</v>
      </c>
      <c r="D290" t="s">
        <v>846</v>
      </c>
      <c r="E290" t="str">
        <f>E288</f>
        <v>PJ/yr.</v>
      </c>
      <c r="F290" s="1">
        <f>F291</f>
        <v>250.9482674410381</v>
      </c>
      <c r="G290" s="1">
        <f t="shared" ref="G290:K290" si="162">G291</f>
        <v>253.29990590548022</v>
      </c>
      <c r="H290" s="1">
        <f t="shared" si="162"/>
        <v>178.90894710635976</v>
      </c>
      <c r="I290" s="1">
        <f t="shared" si="162"/>
        <v>187.17138378703476</v>
      </c>
      <c r="J290" s="1">
        <f t="shared" si="162"/>
        <v>98.945520794982556</v>
      </c>
      <c r="K290" s="1">
        <f t="shared" si="162"/>
        <v>0</v>
      </c>
    </row>
    <row r="291" spans="1:13" x14ac:dyDescent="0.35">
      <c r="A291" s="5" t="s">
        <v>5</v>
      </c>
      <c r="B291" s="5" t="str">
        <f t="shared" si="138"/>
        <v>SPS3</v>
      </c>
      <c r="C291" s="5" t="s">
        <v>7</v>
      </c>
      <c r="D291" t="s">
        <v>92</v>
      </c>
      <c r="E291" t="str">
        <f>E290</f>
        <v>PJ/yr.</v>
      </c>
      <c r="F291" s="1">
        <f>'[1]Electricity and CHPs_IN'!B$14</f>
        <v>250.9482674410381</v>
      </c>
      <c r="G291" s="1">
        <f>'[1]Electricity and CHPs_IN'!C$14</f>
        <v>253.29990590548022</v>
      </c>
      <c r="H291" s="1">
        <f>'[1]Electricity and CHPs_IN'!D$14</f>
        <v>178.90894710635976</v>
      </c>
      <c r="I291" s="1">
        <f>'[1]Electricity and CHPs_IN'!E$14</f>
        <v>187.17138378703476</v>
      </c>
      <c r="J291" s="1">
        <f>'[1]Electricity and CHPs_IN'!F$14</f>
        <v>98.945520794982556</v>
      </c>
      <c r="K291" s="1">
        <f>'[1]Electricity and CHPs_IN'!G$14</f>
        <v>0</v>
      </c>
    </row>
    <row r="292" spans="1:13" x14ac:dyDescent="0.35">
      <c r="A292" s="5" t="s">
        <v>5</v>
      </c>
      <c r="B292" s="5" t="str">
        <f t="shared" si="138"/>
        <v>SPS3</v>
      </c>
      <c r="C292" s="5" t="s">
        <v>7</v>
      </c>
      <c r="D292" t="s">
        <v>847</v>
      </c>
      <c r="E292" t="str">
        <f t="shared" ref="E292:E355" si="163">E291</f>
        <v>PJ/yr.</v>
      </c>
      <c r="F292" s="1">
        <f>SUM(F293:F295)</f>
        <v>149.43050371769465</v>
      </c>
      <c r="G292" s="1">
        <f t="shared" ref="G292:K292" si="164">SUM(G293:G295)</f>
        <v>125.60910293594793</v>
      </c>
      <c r="H292" s="1">
        <f t="shared" si="164"/>
        <v>141.33591684913807</v>
      </c>
      <c r="I292" s="1">
        <f t="shared" si="164"/>
        <v>190.54837782849512</v>
      </c>
      <c r="J292" s="1">
        <f t="shared" si="164"/>
        <v>152.08346292293933</v>
      </c>
      <c r="K292" s="1">
        <f t="shared" si="164"/>
        <v>152.52844378020325</v>
      </c>
    </row>
    <row r="293" spans="1:13" x14ac:dyDescent="0.35">
      <c r="A293" s="5" t="s">
        <v>5</v>
      </c>
      <c r="B293" s="5" t="str">
        <f t="shared" si="138"/>
        <v>SPS3</v>
      </c>
      <c r="C293" s="5" t="s">
        <v>7</v>
      </c>
      <c r="D293" t="s">
        <v>93</v>
      </c>
      <c r="E293" t="str">
        <f t="shared" si="163"/>
        <v>PJ/yr.</v>
      </c>
      <c r="F293" s="1">
        <f>'[1]Electricity and CHPs_IN'!B$15</f>
        <v>66.745680641565826</v>
      </c>
      <c r="G293" s="1">
        <f>'[1]Electricity and CHPs_IN'!C$15</f>
        <v>49.798798233586048</v>
      </c>
      <c r="H293" s="1">
        <f>'[1]Electricity and CHPs_IN'!D$15</f>
        <v>68.746652836090433</v>
      </c>
      <c r="I293" s="1">
        <f>'[1]Electricity and CHPs_IN'!E$15</f>
        <v>69.707980460873983</v>
      </c>
      <c r="J293" s="1">
        <f>'[1]Electricity and CHPs_IN'!F$15</f>
        <v>72.137441602012373</v>
      </c>
      <c r="K293" s="1">
        <f>'[1]Electricity and CHPs_IN'!G$15</f>
        <v>68.851436972761888</v>
      </c>
    </row>
    <row r="294" spans="1:13" x14ac:dyDescent="0.35">
      <c r="A294" s="5" t="s">
        <v>5</v>
      </c>
      <c r="B294" s="5" t="str">
        <f t="shared" si="138"/>
        <v>SPS3</v>
      </c>
      <c r="C294" s="5" t="s">
        <v>7</v>
      </c>
      <c r="D294" t="s">
        <v>94</v>
      </c>
      <c r="E294" t="str">
        <f t="shared" si="163"/>
        <v>PJ/yr.</v>
      </c>
      <c r="F294" s="1">
        <f>'[1]Electricity and CHPs_IN'!B$16</f>
        <v>66.632408674137309</v>
      </c>
      <c r="G294" s="1">
        <f>'[1]Electricity and CHPs_IN'!C$16</f>
        <v>55.764006095374093</v>
      </c>
      <c r="H294" s="1">
        <f>'[1]Electricity and CHPs_IN'!D$16</f>
        <v>65.562601078116302</v>
      </c>
      <c r="I294" s="1">
        <f>'[1]Electricity and CHPs_IN'!E$16</f>
        <v>64.934024586346183</v>
      </c>
      <c r="J294" s="1">
        <f>'[1]Electricity and CHPs_IN'!F$16</f>
        <v>63.848999302683723</v>
      </c>
      <c r="K294" s="1">
        <f>'[1]Electricity and CHPs_IN'!G$16</f>
        <v>67.134993866464811</v>
      </c>
    </row>
    <row r="295" spans="1:13" x14ac:dyDescent="0.35">
      <c r="A295" s="5" t="s">
        <v>5</v>
      </c>
      <c r="B295" s="5" t="str">
        <f t="shared" si="138"/>
        <v>SPS3</v>
      </c>
      <c r="C295" s="5" t="s">
        <v>7</v>
      </c>
      <c r="D295" t="s">
        <v>95</v>
      </c>
      <c r="E295" t="str">
        <f t="shared" si="163"/>
        <v>PJ/yr.</v>
      </c>
      <c r="F295" s="1">
        <f>'[1]Electricity and CHPs_IN'!B$13</f>
        <v>16.052414401991513</v>
      </c>
      <c r="G295" s="1">
        <f>'[1]Electricity and CHPs_IN'!C$13</f>
        <v>20.04629860698779</v>
      </c>
      <c r="H295" s="1">
        <f>'[1]Electricity and CHPs_IN'!D$13</f>
        <v>7.0266629349313163</v>
      </c>
      <c r="I295" s="1">
        <f>'[1]Electricity and CHPs_IN'!E$13</f>
        <v>55.906372781274968</v>
      </c>
      <c r="J295" s="1">
        <f>'[1]Electricity and CHPs_IN'!F$13</f>
        <v>16.097022018243219</v>
      </c>
      <c r="K295" s="1">
        <f>'[1]Electricity and CHPs_IN'!G$13</f>
        <v>16.542012940976548</v>
      </c>
    </row>
    <row r="296" spans="1:13" x14ac:dyDescent="0.35">
      <c r="A296" s="5" t="s">
        <v>5</v>
      </c>
      <c r="B296" s="5" t="str">
        <f t="shared" si="138"/>
        <v>SPS3</v>
      </c>
      <c r="C296" s="5" t="s">
        <v>7</v>
      </c>
      <c r="D296" t="s">
        <v>848</v>
      </c>
      <c r="E296" t="str">
        <f t="shared" si="163"/>
        <v>PJ/yr.</v>
      </c>
      <c r="F296" s="1">
        <f>SUM(F297:F299)</f>
        <v>0.16025661646437411</v>
      </c>
      <c r="G296" s="1">
        <f t="shared" ref="G296:K296" si="165">SUM(G297:G299)</f>
        <v>1.8711004660755099</v>
      </c>
      <c r="H296" s="1">
        <f t="shared" si="165"/>
        <v>0.48546440472405977</v>
      </c>
      <c r="I296" s="1">
        <f t="shared" si="165"/>
        <v>6.2278631353574879E-2</v>
      </c>
      <c r="J296" s="1">
        <f t="shared" si="165"/>
        <v>1.6755442090508571E-3</v>
      </c>
      <c r="K296" s="1">
        <f t="shared" si="165"/>
        <v>4.2677330723302057E-4</v>
      </c>
    </row>
    <row r="297" spans="1:13" x14ac:dyDescent="0.35">
      <c r="A297" s="5" t="s">
        <v>5</v>
      </c>
      <c r="B297" s="5" t="str">
        <f t="shared" si="138"/>
        <v>SPS3</v>
      </c>
      <c r="C297" s="5" t="s">
        <v>7</v>
      </c>
      <c r="D297" t="s">
        <v>96</v>
      </c>
      <c r="E297" t="str">
        <f t="shared" si="163"/>
        <v>PJ/yr.</v>
      </c>
      <c r="F297" s="1">
        <f>'[1]Electricity and CHPs_IN'!B$18</f>
        <v>0.13365062106769465</v>
      </c>
      <c r="G297" s="1">
        <f>'[1]Electricity and CHPs_IN'!C$18</f>
        <v>1.5228513044439815</v>
      </c>
      <c r="H297" s="1">
        <f>'[1]Electricity and CHPs_IN'!D$18</f>
        <v>0.4738721719493289</v>
      </c>
      <c r="I297" s="1">
        <f>'[1]Electricity and CHPs_IN'!E$18</f>
        <v>8.0652268361605271E-4</v>
      </c>
      <c r="J297" s="1">
        <f>'[1]Electricity and CHPs_IN'!F$18</f>
        <v>8.1008295650009988E-4</v>
      </c>
      <c r="K297" s="1">
        <f>'[1]Electricity and CHPs_IN'!G$18</f>
        <v>2.1164221746329464E-4</v>
      </c>
    </row>
    <row r="298" spans="1:13" x14ac:dyDescent="0.35">
      <c r="A298" s="5" t="s">
        <v>5</v>
      </c>
      <c r="B298" s="5" t="str">
        <f t="shared" si="138"/>
        <v>SPS3</v>
      </c>
      <c r="C298" s="5" t="s">
        <v>7</v>
      </c>
      <c r="D298" t="s">
        <v>230</v>
      </c>
      <c r="E298" t="str">
        <f t="shared" si="163"/>
        <v>PJ/yr.</v>
      </c>
      <c r="F298" s="1">
        <f>IFERROR(F70/SUM(F70,F183),0)*'[1]Electricity and CHPs_IN'!B$28</f>
        <v>4.9979475250975253E-3</v>
      </c>
      <c r="G298" s="1">
        <f>IFERROR(G70/SUM(G70,G183),0)*'[1]Electricity and CHPs_IN'!C$28</f>
        <v>0.29515143434440638</v>
      </c>
      <c r="H298" s="1">
        <f>IFERROR(H70/SUM(H70,H183),0)*'[1]Electricity and CHPs_IN'!D$28</f>
        <v>9.7707558904061784E-3</v>
      </c>
      <c r="I298" s="1">
        <f>IFERROR(I70/SUM(I70,I183),0)*'[1]Electricity and CHPs_IN'!E$28</f>
        <v>1.862777805339749E-4</v>
      </c>
      <c r="J298" s="1">
        <f>IFERROR(J70/SUM(J70,J183),0)*'[1]Electricity and CHPs_IN'!F$28</f>
        <v>1.608643521004356E-4</v>
      </c>
      <c r="K298" s="1">
        <f>IFERROR(K70/SUM(K70,K183),0)*'[1]Electricity and CHPs_IN'!G$28</f>
        <v>2.1850949585774984E-5</v>
      </c>
      <c r="M298" s="1"/>
    </row>
    <row r="299" spans="1:13" x14ac:dyDescent="0.35">
      <c r="A299" s="5" t="s">
        <v>5</v>
      </c>
      <c r="B299" s="5" t="str">
        <f t="shared" si="138"/>
        <v>SPS3</v>
      </c>
      <c r="C299" s="5" t="s">
        <v>7</v>
      </c>
      <c r="D299" t="s">
        <v>97</v>
      </c>
      <c r="E299" t="str">
        <f t="shared" si="163"/>
        <v>PJ/yr.</v>
      </c>
      <c r="F299" s="1">
        <f>IFERROR(F71/SUM(F71,F233),0)*'[1]Electricity and CHPs_IN'!B$41</f>
        <v>2.1608047871581933E-2</v>
      </c>
      <c r="G299" s="1">
        <f>IFERROR(G71/SUM(G71,G233),0)*'[1]Electricity and CHPs_IN'!C$41</f>
        <v>5.3097727287121969E-2</v>
      </c>
      <c r="H299" s="1">
        <f>IFERROR(H71/SUM(H71,H233),0)*'[1]Electricity and CHPs_IN'!D$41</f>
        <v>1.8214768843247263E-3</v>
      </c>
      <c r="I299" s="1">
        <f>IFERROR(I71/SUM(I71,I233),0)*'[1]Electricity and CHPs_IN'!E$41</f>
        <v>6.1285830889424853E-2</v>
      </c>
      <c r="J299" s="1">
        <f>IFERROR(J71/SUM(J71,J233),0)*'[1]Electricity and CHPs_IN'!F$41</f>
        <v>7.0459690045032166E-4</v>
      </c>
      <c r="K299" s="1">
        <f>IFERROR(K71/SUM(K71,K233),0)*'[1]Electricity and CHPs_IN'!G$41</f>
        <v>1.9328014018395092E-4</v>
      </c>
    </row>
    <row r="300" spans="1:13" x14ac:dyDescent="0.35">
      <c r="A300" s="5" t="s">
        <v>5</v>
      </c>
      <c r="B300" s="5" t="str">
        <f t="shared" si="138"/>
        <v>SPS3</v>
      </c>
      <c r="C300" s="5" t="s">
        <v>7</v>
      </c>
      <c r="D300" t="s">
        <v>849</v>
      </c>
      <c r="E300" t="str">
        <f t="shared" si="163"/>
        <v>PJ/yr.</v>
      </c>
      <c r="F300" s="1">
        <f>F296</f>
        <v>0.16025661646437411</v>
      </c>
      <c r="G300" s="1">
        <f t="shared" ref="G300:K300" si="166">G296</f>
        <v>1.8711004660755099</v>
      </c>
      <c r="H300" s="1">
        <f t="shared" si="166"/>
        <v>0.48546440472405977</v>
      </c>
      <c r="I300" s="1">
        <f t="shared" si="166"/>
        <v>6.2278631353574879E-2</v>
      </c>
      <c r="J300" s="1">
        <f t="shared" si="166"/>
        <v>1.6755442090508571E-3</v>
      </c>
      <c r="K300" s="1">
        <f t="shared" si="166"/>
        <v>4.2677330723302057E-4</v>
      </c>
    </row>
    <row r="301" spans="1:13" x14ac:dyDescent="0.35">
      <c r="A301" s="5" t="s">
        <v>5</v>
      </c>
      <c r="B301" s="5" t="str">
        <f t="shared" si="138"/>
        <v>SPS3</v>
      </c>
      <c r="C301" s="5" t="s">
        <v>7</v>
      </c>
      <c r="D301" t="s">
        <v>520</v>
      </c>
      <c r="E301" t="str">
        <f t="shared" si="163"/>
        <v>PJ/yr.</v>
      </c>
      <c r="F301" s="1">
        <f t="shared" ref="F301:K301" si="167">F297</f>
        <v>0.13365062106769465</v>
      </c>
      <c r="G301" s="1">
        <f t="shared" si="167"/>
        <v>1.5228513044439815</v>
      </c>
      <c r="H301" s="1">
        <f t="shared" si="167"/>
        <v>0.4738721719493289</v>
      </c>
      <c r="I301" s="1">
        <f t="shared" si="167"/>
        <v>8.0652268361605271E-4</v>
      </c>
      <c r="J301" s="1">
        <f t="shared" si="167"/>
        <v>8.1008295650009988E-4</v>
      </c>
      <c r="K301" s="1">
        <f t="shared" si="167"/>
        <v>2.1164221746329464E-4</v>
      </c>
    </row>
    <row r="302" spans="1:13" x14ac:dyDescent="0.35">
      <c r="A302" s="5" t="s">
        <v>5</v>
      </c>
      <c r="B302" s="5" t="str">
        <f t="shared" si="138"/>
        <v>SPS3</v>
      </c>
      <c r="C302" s="5" t="s">
        <v>7</v>
      </c>
      <c r="D302" t="s">
        <v>521</v>
      </c>
      <c r="E302" t="str">
        <f t="shared" si="163"/>
        <v>PJ/yr.</v>
      </c>
      <c r="F302" s="1">
        <f t="shared" ref="F302:K302" si="168">F298</f>
        <v>4.9979475250975253E-3</v>
      </c>
      <c r="G302" s="1">
        <f t="shared" si="168"/>
        <v>0.29515143434440638</v>
      </c>
      <c r="H302" s="1">
        <f t="shared" si="168"/>
        <v>9.7707558904061784E-3</v>
      </c>
      <c r="I302" s="1">
        <f t="shared" si="168"/>
        <v>1.862777805339749E-4</v>
      </c>
      <c r="J302" s="1">
        <f t="shared" si="168"/>
        <v>1.608643521004356E-4</v>
      </c>
      <c r="K302" s="1">
        <f t="shared" si="168"/>
        <v>2.1850949585774984E-5</v>
      </c>
    </row>
    <row r="303" spans="1:13" x14ac:dyDescent="0.35">
      <c r="A303" s="5" t="s">
        <v>5</v>
      </c>
      <c r="B303" s="5" t="str">
        <f t="shared" si="138"/>
        <v>SPS3</v>
      </c>
      <c r="C303" s="5" t="s">
        <v>7</v>
      </c>
      <c r="D303" t="s">
        <v>522</v>
      </c>
      <c r="E303" t="str">
        <f t="shared" si="163"/>
        <v>PJ/yr.</v>
      </c>
      <c r="F303" s="1">
        <f t="shared" ref="F303:K303" si="169">F299</f>
        <v>2.1608047871581933E-2</v>
      </c>
      <c r="G303" s="1">
        <f t="shared" si="169"/>
        <v>5.3097727287121969E-2</v>
      </c>
      <c r="H303" s="1">
        <f t="shared" si="169"/>
        <v>1.8214768843247263E-3</v>
      </c>
      <c r="I303" s="1">
        <f t="shared" si="169"/>
        <v>6.1285830889424853E-2</v>
      </c>
      <c r="J303" s="1">
        <f t="shared" si="169"/>
        <v>7.0459690045032166E-4</v>
      </c>
      <c r="K303" s="1">
        <f t="shared" si="169"/>
        <v>1.9328014018395092E-4</v>
      </c>
    </row>
    <row r="304" spans="1:13" x14ac:dyDescent="0.35">
      <c r="A304" s="5" t="s">
        <v>5</v>
      </c>
      <c r="B304" s="5" t="str">
        <f t="shared" si="138"/>
        <v>SPS3</v>
      </c>
      <c r="C304" s="5" t="s">
        <v>7</v>
      </c>
      <c r="D304" t="s">
        <v>850</v>
      </c>
      <c r="E304" t="str">
        <f t="shared" si="163"/>
        <v>PJ/yr.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 x14ac:dyDescent="0.35">
      <c r="A305" s="5" t="s">
        <v>5</v>
      </c>
      <c r="B305" s="5" t="str">
        <f t="shared" si="138"/>
        <v>SPS3</v>
      </c>
      <c r="C305" s="5" t="s">
        <v>7</v>
      </c>
      <c r="D305" t="s">
        <v>544</v>
      </c>
      <c r="E305" t="str">
        <f t="shared" si="163"/>
        <v>PJ/yr.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x14ac:dyDescent="0.35">
      <c r="A306" s="5" t="s">
        <v>5</v>
      </c>
      <c r="B306" s="5" t="str">
        <f t="shared" si="138"/>
        <v>SPS3</v>
      </c>
      <c r="C306" s="5" t="s">
        <v>7</v>
      </c>
      <c r="D306" t="s">
        <v>545</v>
      </c>
      <c r="E306" t="str">
        <f t="shared" si="16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</row>
    <row r="307" spans="1:11" x14ac:dyDescent="0.35">
      <c r="A307" s="5" t="s">
        <v>5</v>
      </c>
      <c r="B307" s="5" t="str">
        <f t="shared" si="138"/>
        <v>SPS3</v>
      </c>
      <c r="C307" s="5" t="s">
        <v>7</v>
      </c>
      <c r="D307" t="s">
        <v>546</v>
      </c>
      <c r="E307" t="str">
        <f t="shared" si="16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x14ac:dyDescent="0.35">
      <c r="A308" s="5" t="s">
        <v>5</v>
      </c>
      <c r="B308" s="5" t="str">
        <f t="shared" ref="B308:B371" si="170">B307</f>
        <v>SPS3</v>
      </c>
      <c r="C308" s="5" t="s">
        <v>7</v>
      </c>
      <c r="D308" t="s">
        <v>851</v>
      </c>
      <c r="E308" t="str">
        <f t="shared" si="163"/>
        <v>PJ/yr.</v>
      </c>
      <c r="F308" s="1">
        <f>SUM(F309:F323)</f>
        <v>4.0834266180106624</v>
      </c>
      <c r="G308" s="1">
        <f t="shared" ref="G308:K308" si="171">SUM(G309:G323)</f>
        <v>2.7409513451335865</v>
      </c>
      <c r="H308" s="1">
        <f t="shared" si="171"/>
        <v>1.9908300648996846</v>
      </c>
      <c r="I308" s="1">
        <f t="shared" si="171"/>
        <v>3.1345706517746166</v>
      </c>
      <c r="J308" s="1">
        <f t="shared" si="171"/>
        <v>7.7834969133301968</v>
      </c>
      <c r="K308" s="1">
        <f t="shared" si="171"/>
        <v>6.4860328837969785</v>
      </c>
    </row>
    <row r="309" spans="1:11" x14ac:dyDescent="0.35">
      <c r="A309" s="5" t="s">
        <v>5</v>
      </c>
      <c r="B309" s="5" t="str">
        <f t="shared" si="170"/>
        <v>SPS3</v>
      </c>
      <c r="C309" s="5" t="s">
        <v>7</v>
      </c>
      <c r="D309" t="s">
        <v>98</v>
      </c>
      <c r="E309" t="str">
        <f t="shared" si="163"/>
        <v>PJ/yr.</v>
      </c>
      <c r="F309" s="1">
        <f>'[1]Electricity and CHPs_IN'!B$21</f>
        <v>0</v>
      </c>
      <c r="G309" s="1">
        <f>'[1]Electricity and CHPs_IN'!C$21</f>
        <v>0</v>
      </c>
      <c r="H309" s="1">
        <f>'[1]Electricity and CHPs_IN'!D$21</f>
        <v>0</v>
      </c>
      <c r="I309" s="1">
        <f>'[1]Electricity and CHPs_IN'!E$21</f>
        <v>0</v>
      </c>
      <c r="J309" s="1">
        <f>'[1]Electricity and CHPs_IN'!F$21</f>
        <v>1.6780739403995312E-3</v>
      </c>
      <c r="K309" s="1">
        <f>'[1]Electricity and CHPs_IN'!G$21</f>
        <v>1.1114803915908749E-2</v>
      </c>
    </row>
    <row r="310" spans="1:11" x14ac:dyDescent="0.35">
      <c r="A310" s="5" t="s">
        <v>5</v>
      </c>
      <c r="B310" s="5" t="str">
        <f t="shared" si="170"/>
        <v>SPS3</v>
      </c>
      <c r="C310" s="5" t="s">
        <v>7</v>
      </c>
      <c r="D310" t="s">
        <v>99</v>
      </c>
      <c r="E310" t="str">
        <f t="shared" si="163"/>
        <v>PJ/yr.</v>
      </c>
      <c r="F310" s="1">
        <f>'[1]Electricity and CHPs_IN'!B$22</f>
        <v>0</v>
      </c>
      <c r="G310" s="1">
        <f>'[1]Electricity and CHPs_IN'!C$22</f>
        <v>0</v>
      </c>
      <c r="H310" s="1">
        <f>'[1]Electricity and CHPs_IN'!D$22</f>
        <v>0</v>
      </c>
      <c r="I310" s="1">
        <f>'[1]Electricity and CHPs_IN'!E$22</f>
        <v>1.0113844827678278E-3</v>
      </c>
      <c r="J310" s="1">
        <f>'[1]Electricity and CHPs_IN'!F$22</f>
        <v>9.4997699776080567E-4</v>
      </c>
      <c r="K310" s="1">
        <f>'[1]Electricity and CHPs_IN'!G$22</f>
        <v>7.5460947787290341E-4</v>
      </c>
    </row>
    <row r="311" spans="1:11" x14ac:dyDescent="0.35">
      <c r="A311" s="5" t="s">
        <v>5</v>
      </c>
      <c r="B311" s="5" t="str">
        <f t="shared" si="170"/>
        <v>SPS3</v>
      </c>
      <c r="C311" s="5" t="s">
        <v>7</v>
      </c>
      <c r="D311" t="s">
        <v>100</v>
      </c>
      <c r="E311" t="str">
        <f t="shared" si="163"/>
        <v>PJ/yr.</v>
      </c>
      <c r="F311" s="1">
        <f>'[1]Electricity and CHPs_IN'!B$23</f>
        <v>0</v>
      </c>
      <c r="G311" s="1">
        <f>'[1]Electricity and CHPs_IN'!C$23</f>
        <v>0</v>
      </c>
      <c r="H311" s="1">
        <f>'[1]Electricity and CHPs_IN'!D$23</f>
        <v>0</v>
      </c>
      <c r="I311" s="1">
        <f>'[1]Electricity and CHPs_IN'!E$23</f>
        <v>0</v>
      </c>
      <c r="J311" s="1">
        <f>'[1]Electricity and CHPs_IN'!F$23</f>
        <v>8.8471184003567844E-4</v>
      </c>
      <c r="K311" s="1">
        <f>'[1]Electricity and CHPs_IN'!G$23</f>
        <v>1.2477168147725484</v>
      </c>
    </row>
    <row r="312" spans="1:11" x14ac:dyDescent="0.35">
      <c r="A312" s="5" t="s">
        <v>5</v>
      </c>
      <c r="B312" s="5" t="str">
        <f t="shared" si="170"/>
        <v>SPS3</v>
      </c>
      <c r="C312" s="5" t="s">
        <v>7</v>
      </c>
      <c r="D312" t="s">
        <v>101</v>
      </c>
      <c r="E312" t="str">
        <f t="shared" si="163"/>
        <v>PJ/yr.</v>
      </c>
      <c r="F312" s="1">
        <f>IFERROR(F84/SUM(F84+F187),0)*'[1]Electricity and CHPs_IN'!B$24</f>
        <v>1.2912753701636206</v>
      </c>
      <c r="G312" s="1">
        <f>IFERROR(G84/SUM(G84+G187),0)*'[1]Electricity and CHPs_IN'!C$24</f>
        <v>8.5999221217777358E-4</v>
      </c>
      <c r="H312" s="1">
        <f>IFERROR(H84/SUM(H84+H187),0)*'[1]Electricity and CHPs_IN'!D$24</f>
        <v>0.24365903808425321</v>
      </c>
      <c r="I312" s="1">
        <f>IFERROR(I84/SUM(I84+I187),0)*'[1]Electricity and CHPs_IN'!E$24</f>
        <v>8.2621624831477256E-4</v>
      </c>
      <c r="J312" s="1">
        <f>IFERROR(J84/SUM(J84+J187),0)*'[1]Electricity and CHPs_IN'!F$24</f>
        <v>8.3123966841258873E-4</v>
      </c>
      <c r="K312" s="1">
        <f>IFERROR(K84/SUM(K84+K187),0)*'[1]Electricity and CHPs_IN'!G$24</f>
        <v>9.1571923994836083E-5</v>
      </c>
    </row>
    <row r="313" spans="1:11" x14ac:dyDescent="0.35">
      <c r="A313" s="5" t="s">
        <v>5</v>
      </c>
      <c r="B313" s="5" t="str">
        <f t="shared" si="170"/>
        <v>SPS3</v>
      </c>
      <c r="C313" s="5" t="s">
        <v>7</v>
      </c>
      <c r="D313" t="s">
        <v>102</v>
      </c>
      <c r="E313" t="str">
        <f t="shared" si="163"/>
        <v>PJ/yr.</v>
      </c>
      <c r="F313" s="1">
        <f>IFERROR(F85/SUM(F85+F188),0)*'[1]Electricity and CHPs_IN'!B$29</f>
        <v>0</v>
      </c>
      <c r="G313" s="1">
        <f>IFERROR(G85/SUM(G85+G188),0)*'[1]Electricity and CHPs_IN'!C$29</f>
        <v>0</v>
      </c>
      <c r="H313" s="1">
        <f>IFERROR(H85/SUM(H85+H188),0)*'[1]Electricity and CHPs_IN'!D$29</f>
        <v>0</v>
      </c>
      <c r="I313" s="1">
        <f>IFERROR(I85/SUM(I85+I188),0)*'[1]Electricity and CHPs_IN'!E$29</f>
        <v>0</v>
      </c>
      <c r="J313" s="1">
        <f>IFERROR(J85/SUM(J85+J188),0)*'[1]Electricity and CHPs_IN'!F$29</f>
        <v>0.32292918912637292</v>
      </c>
      <c r="K313" s="1">
        <f>IFERROR(K85/SUM(K85+K188),0)*'[1]Electricity and CHPs_IN'!G$29</f>
        <v>1.3443022597251896E-4</v>
      </c>
    </row>
    <row r="314" spans="1:11" x14ac:dyDescent="0.35">
      <c r="A314" s="5" t="s">
        <v>5</v>
      </c>
      <c r="B314" s="5" t="str">
        <f t="shared" si="170"/>
        <v>SPS3</v>
      </c>
      <c r="C314" s="5" t="s">
        <v>7</v>
      </c>
      <c r="D314" t="s">
        <v>103</v>
      </c>
      <c r="E314" t="str">
        <f t="shared" si="163"/>
        <v>PJ/yr.</v>
      </c>
      <c r="F314" s="1">
        <f>F86/SUM(F86,F239)*'[1]Electricity and CHPs_IN'!B$39</f>
        <v>0.89335027827266233</v>
      </c>
      <c r="G314" s="1">
        <f>G86/SUM(G86,G239)*'[1]Electricity and CHPs_IN'!C$39</f>
        <v>0.69080871002372479</v>
      </c>
      <c r="H314" s="1">
        <f>H86/SUM(H86,H239)*'[1]Electricity and CHPs_IN'!D$39</f>
        <v>6.9887064961883627E-2</v>
      </c>
      <c r="I314" s="1">
        <f>I86/SUM(I86,I239)*'[1]Electricity and CHPs_IN'!E$39</f>
        <v>3.2995956335790888E-2</v>
      </c>
      <c r="J314" s="1">
        <f>J86/SUM(J86,J239)*'[1]Electricity and CHPs_IN'!F$39</f>
        <v>7.6254294071509462E-3</v>
      </c>
      <c r="K314" s="1">
        <f>K86/SUM(K86,K239)*'[1]Electricity and CHPs_IN'!G$39</f>
        <v>1.9129994575412161E-3</v>
      </c>
    </row>
    <row r="315" spans="1:11" x14ac:dyDescent="0.35">
      <c r="A315" s="5" t="s">
        <v>5</v>
      </c>
      <c r="B315" s="5" t="str">
        <f t="shared" si="170"/>
        <v>SPS3</v>
      </c>
      <c r="C315" s="5" t="s">
        <v>7</v>
      </c>
      <c r="D315" t="s">
        <v>104</v>
      </c>
      <c r="E315" t="str">
        <f t="shared" si="163"/>
        <v>PJ/yr.</v>
      </c>
      <c r="F315" s="1">
        <f>IFERROR(F87/SUM(F87,F240),0)*'[1]Electricity and CHPs_IN'!B$40</f>
        <v>0</v>
      </c>
      <c r="G315" s="1">
        <f>IFERROR(G87/SUM(G87,G240),0)*'[1]Electricity and CHPs_IN'!C$40</f>
        <v>0</v>
      </c>
      <c r="H315" s="1">
        <f>IFERROR(H87/SUM(H87,H240),0)*'[1]Electricity and CHPs_IN'!D$40</f>
        <v>0</v>
      </c>
      <c r="I315" s="1">
        <f>IFERROR(I87/SUM(I87,I240),0)*'[1]Electricity and CHPs_IN'!E$40</f>
        <v>0</v>
      </c>
      <c r="J315" s="1">
        <f>IFERROR(J87/SUM(J87,J240),0)*'[1]Electricity and CHPs_IN'!F$40</f>
        <v>4.9872717986015858E-4</v>
      </c>
      <c r="K315" s="1">
        <f>IFERROR(K87/SUM(K87,K240),0)*'[1]Electricity and CHPs_IN'!G$40</f>
        <v>7.9376712706089264E-4</v>
      </c>
    </row>
    <row r="316" spans="1:11" x14ac:dyDescent="0.35">
      <c r="A316" s="5" t="s">
        <v>5</v>
      </c>
      <c r="B316" s="5" t="str">
        <f t="shared" si="170"/>
        <v>SPS3</v>
      </c>
      <c r="C316" s="5" t="s">
        <v>7</v>
      </c>
      <c r="D316" t="s">
        <v>105</v>
      </c>
      <c r="E316" t="str">
        <f t="shared" si="163"/>
        <v>PJ/yr.</v>
      </c>
      <c r="F316" s="1">
        <f>IFERROR(F88/SUM(F88,F241),0)*'[1]Electricity and CHPs_IN'!$B$47</f>
        <v>0</v>
      </c>
      <c r="G316" s="1">
        <f>IFERROR(G88/SUM(G88,G241),0)*'[1]Electricity and CHPs_IN'!$B$47</f>
        <v>0</v>
      </c>
      <c r="H316" s="1">
        <f>IFERROR(H88/SUM(H88,H241),0)*'[1]Electricity and CHPs_IN'!$B$47</f>
        <v>0</v>
      </c>
      <c r="I316" s="1">
        <f>IFERROR(I88/SUM(I88,I241),0)*'[1]Electricity and CHPs_IN'!$B$47</f>
        <v>0</v>
      </c>
      <c r="J316" s="1">
        <f>IFERROR(J88/SUM(J88,J241),0)*'[1]Electricity and CHPs_IN'!$B$47</f>
        <v>0</v>
      </c>
      <c r="K316" s="1">
        <f>IFERROR(K88/SUM(K88,K241),0)*'[1]Electricity and CHPs_IN'!$B$47</f>
        <v>0</v>
      </c>
    </row>
    <row r="317" spans="1:11" x14ac:dyDescent="0.35">
      <c r="A317" s="5" t="s">
        <v>5</v>
      </c>
      <c r="B317" s="5" t="str">
        <f t="shared" si="170"/>
        <v>SPS3</v>
      </c>
      <c r="C317" s="5" t="s">
        <v>7</v>
      </c>
      <c r="D317" t="s">
        <v>106</v>
      </c>
      <c r="E317" t="str">
        <f t="shared" si="163"/>
        <v>PJ/yr.</v>
      </c>
      <c r="F317" s="1">
        <f>F89/SUM(F89,F242)*'[1]Electricity and CHPs_IN'!B$48</f>
        <v>2.255097453873366E-2</v>
      </c>
      <c r="G317" s="1">
        <f>G89/SUM(G89,G242)*'[1]Electricity and CHPs_IN'!C$48</f>
        <v>1.7907102447703926E-3</v>
      </c>
      <c r="H317" s="1">
        <f>H89/SUM(H89,H242)*'[1]Electricity and CHPs_IN'!D$48</f>
        <v>5.5056117351702846E-3</v>
      </c>
      <c r="I317" s="1">
        <f>I89/SUM(I89,I242)*'[1]Electricity and CHPs_IN'!E$48</f>
        <v>5.7305031668377282E-3</v>
      </c>
      <c r="J317" s="1">
        <f>J89/SUM(J89,J242)*'[1]Electricity and CHPs_IN'!F$48</f>
        <v>4.361418467883113E-3</v>
      </c>
      <c r="K317" s="1">
        <f>K89/SUM(K89,K242)*'[1]Electricity and CHPs_IN'!G$48</f>
        <v>2.4172038320308476E-5</v>
      </c>
    </row>
    <row r="318" spans="1:11" x14ac:dyDescent="0.35">
      <c r="A318" s="5" t="s">
        <v>5</v>
      </c>
      <c r="B318" s="5" t="str">
        <f t="shared" si="170"/>
        <v>SPS3</v>
      </c>
      <c r="C318" s="5" t="s">
        <v>7</v>
      </c>
      <c r="D318" t="s">
        <v>107</v>
      </c>
      <c r="E318" t="str">
        <f t="shared" si="163"/>
        <v>PJ/yr.</v>
      </c>
      <c r="F318" s="1">
        <f>IFERROR(F90/SUM(F90,F243),0)*'[1]Electricity and CHPs_IN'!B$49</f>
        <v>0</v>
      </c>
      <c r="G318" s="1">
        <f>IFERROR(G90/SUM(G90,G243),0)*'[1]Electricity and CHPs_IN'!C$49</f>
        <v>0</v>
      </c>
      <c r="H318" s="1">
        <f>IFERROR(H90/SUM(H90,H243),0)*'[1]Electricity and CHPs_IN'!D$49</f>
        <v>0</v>
      </c>
      <c r="I318" s="1">
        <f>IFERROR(I90/SUM(I90,I243),0)*'[1]Electricity and CHPs_IN'!E$49</f>
        <v>1.8791518403196211E-3</v>
      </c>
      <c r="J318" s="1">
        <f>IFERROR(J90/SUM(J90,J243),0)*'[1]Electricity and CHPs_IN'!F$49</f>
        <v>4.2416146167425801E-3</v>
      </c>
      <c r="K318" s="1">
        <f>IFERROR(K90/SUM(K90,K243),0)*'[1]Electricity and CHPs_IN'!G$49</f>
        <v>5.6738319826044937E-4</v>
      </c>
    </row>
    <row r="319" spans="1:11" x14ac:dyDescent="0.35">
      <c r="A319" s="5" t="s">
        <v>5</v>
      </c>
      <c r="B319" s="5" t="str">
        <f t="shared" si="170"/>
        <v>SPS3</v>
      </c>
      <c r="C319" s="5" t="s">
        <v>7</v>
      </c>
      <c r="D319" t="s">
        <v>108</v>
      </c>
      <c r="E319" t="str">
        <f t="shared" si="163"/>
        <v>PJ/yr.</v>
      </c>
      <c r="F319" s="1">
        <f>IFERROR(F91/SUM(F91,F244),0)*'[1]Electricity and CHPs_IN'!B$51</f>
        <v>3.2053856576011612E-2</v>
      </c>
      <c r="G319" s="1">
        <f>IFERROR(G91/SUM(G91,G244),0)*'[1]Electricity and CHPs_IN'!C$51</f>
        <v>1.7358331239453468E-3</v>
      </c>
      <c r="H319" s="1">
        <f>IFERROR(H91/SUM(H91,H244),0)*'[1]Electricity and CHPs_IN'!D$51</f>
        <v>1.0328415825345525E-2</v>
      </c>
      <c r="I319" s="1">
        <f>IFERROR(I91/SUM(I91,I244),0)*'[1]Electricity and CHPs_IN'!E$51</f>
        <v>1.624691526949688</v>
      </c>
      <c r="J319" s="1">
        <f>IFERROR(J91/SUM(J91,J244),0)*'[1]Electricity and CHPs_IN'!F$51</f>
        <v>0.86476148578841872</v>
      </c>
      <c r="K319" s="1">
        <f>IFERROR(K91/SUM(K91,K244),0)*'[1]Electricity and CHPs_IN'!G$51</f>
        <v>2.7165745994147218E-5</v>
      </c>
    </row>
    <row r="320" spans="1:11" x14ac:dyDescent="0.35">
      <c r="A320" s="5" t="s">
        <v>5</v>
      </c>
      <c r="B320" s="5" t="str">
        <f t="shared" si="170"/>
        <v>SPS3</v>
      </c>
      <c r="C320" s="5" t="s">
        <v>7</v>
      </c>
      <c r="D320" t="s">
        <v>109</v>
      </c>
      <c r="E320" t="str">
        <f t="shared" si="163"/>
        <v>PJ/yr.</v>
      </c>
      <c r="F320" s="1">
        <f>IFERROR(F92/SUM(F92,F245),0)*'[1]Electricity and CHPs_IN'!B$52</f>
        <v>0</v>
      </c>
      <c r="G320" s="1">
        <f>IFERROR(G92/SUM(G92,G245),0)*'[1]Electricity and CHPs_IN'!C$52</f>
        <v>0</v>
      </c>
      <c r="H320" s="1">
        <f>IFERROR(H92/SUM(H92,H245),0)*'[1]Electricity and CHPs_IN'!D$52</f>
        <v>0</v>
      </c>
      <c r="I320" s="1">
        <f>IFERROR(I92/SUM(I92,I245),0)*'[1]Electricity and CHPs_IN'!E$52</f>
        <v>1.022514475493325E-2</v>
      </c>
      <c r="J320" s="1">
        <f>IFERROR(J92/SUM(J92,J245),0)*'[1]Electricity and CHPs_IN'!F$52</f>
        <v>2.5253284677850099</v>
      </c>
      <c r="K320" s="1">
        <f>IFERROR(K92/SUM(K92,K245),0)*'[1]Electricity and CHPs_IN'!G$52</f>
        <v>6.7224720250913203E-4</v>
      </c>
    </row>
    <row r="321" spans="1:11" x14ac:dyDescent="0.35">
      <c r="A321" s="5" t="s">
        <v>5</v>
      </c>
      <c r="B321" s="5" t="str">
        <f t="shared" si="170"/>
        <v>SPS3</v>
      </c>
      <c r="C321" s="5" t="s">
        <v>7</v>
      </c>
      <c r="D321" t="s">
        <v>110</v>
      </c>
      <c r="E321" t="str">
        <f t="shared" si="163"/>
        <v>PJ/yr.</v>
      </c>
      <c r="F321" s="1">
        <f>IFERROR(F93/SUM(F93,F246),0)*'[1]Electricity and CHPs_IN'!B$54</f>
        <v>1.0647109536294512</v>
      </c>
      <c r="G321" s="1">
        <f>IFERROR(G93/SUM(G93,G246),0)*'[1]Electricity and CHPs_IN'!C$54</f>
        <v>1.2550108619855498</v>
      </c>
      <c r="H321" s="1">
        <f>IFERROR(H93/SUM(H93,H246),0)*'[1]Electricity and CHPs_IN'!D$54</f>
        <v>1.6471433971708289</v>
      </c>
      <c r="I321" s="1">
        <f>IFERROR(I93/SUM(I93,I246),0)*'[1]Electricity and CHPs_IN'!E$54</f>
        <v>1.447518769126855</v>
      </c>
      <c r="J321" s="1">
        <f>IFERROR(J93/SUM(J93,J246),0)*'[1]Electricity and CHPs_IN'!F$54</f>
        <v>4.0455118263220822</v>
      </c>
      <c r="K321" s="1">
        <f>IFERROR(K93/SUM(K93,K246),0)*'[1]Electricity and CHPs_IN'!G$54</f>
        <v>5.221401591444188</v>
      </c>
    </row>
    <row r="322" spans="1:11" x14ac:dyDescent="0.35">
      <c r="A322" s="5" t="s">
        <v>5</v>
      </c>
      <c r="B322" s="5" t="str">
        <f t="shared" si="170"/>
        <v>SPS3</v>
      </c>
      <c r="C322" s="5" t="s">
        <v>7</v>
      </c>
      <c r="D322" t="s">
        <v>111</v>
      </c>
      <c r="E322" t="str">
        <f t="shared" si="163"/>
        <v>PJ/yr.</v>
      </c>
      <c r="F322" s="1">
        <f>IFERROR(F94/SUM(F94,F247),0)*'[1]Electricity and CHPs_IN'!B$55</f>
        <v>0.77948518483018259</v>
      </c>
      <c r="G322" s="1">
        <f>IFERROR(G94/SUM(G94,G247),0)*'[1]Electricity and CHPs_IN'!C$55</f>
        <v>0.79074523754341874</v>
      </c>
      <c r="H322" s="1">
        <f>IFERROR(H94/SUM(H94,H247),0)*'[1]Electricity and CHPs_IN'!D$55</f>
        <v>1.430653712220298E-2</v>
      </c>
      <c r="I322" s="1">
        <f>IFERROR(I94/SUM(I94,I247),0)*'[1]Electricity and CHPs_IN'!E$55</f>
        <v>8.7041067442117943E-3</v>
      </c>
      <c r="J322" s="1">
        <f>IFERROR(J94/SUM(J94,J247),0)*'[1]Electricity and CHPs_IN'!F$55</f>
        <v>3.4686494536694613E-4</v>
      </c>
      <c r="K322" s="1">
        <f>IFERROR(K94/SUM(K94,K247),0)*'[1]Electricity and CHPs_IN'!G$55</f>
        <v>3.014493605234174E-4</v>
      </c>
    </row>
    <row r="323" spans="1:11" x14ac:dyDescent="0.35">
      <c r="A323" s="5" t="s">
        <v>5</v>
      </c>
      <c r="B323" s="5" t="str">
        <f t="shared" si="170"/>
        <v>SPS3</v>
      </c>
      <c r="C323" s="5" t="s">
        <v>7</v>
      </c>
      <c r="D323" t="s">
        <v>112</v>
      </c>
      <c r="E323" t="str">
        <f t="shared" si="163"/>
        <v>PJ/yr.</v>
      </c>
      <c r="F323" s="1">
        <f>IFERROR(F95/SUM(F95,F248),0)*'[1]Electricity and CHPs_IN'!B$58</f>
        <v>0</v>
      </c>
      <c r="G323" s="1">
        <f>IFERROR(G95/SUM(G95,G248),0)*'[1]Electricity and CHPs_IN'!C$58</f>
        <v>0</v>
      </c>
      <c r="H323" s="1">
        <f>IFERROR(H95/SUM(H95,H248),0)*'[1]Electricity and CHPs_IN'!D$58</f>
        <v>0</v>
      </c>
      <c r="I323" s="1">
        <f>IFERROR(I95/SUM(I95,I248),0)*'[1]Electricity and CHPs_IN'!E$58</f>
        <v>9.8789212489726157E-4</v>
      </c>
      <c r="J323" s="1">
        <f>IFERROR(J95/SUM(J95,J248),0)*'[1]Electricity and CHPs_IN'!F$58</f>
        <v>3.5478872447001499E-3</v>
      </c>
      <c r="K323" s="1">
        <f>IFERROR(K95/SUM(K95,K248),0)*'[1]Electricity and CHPs_IN'!G$58</f>
        <v>5.1987790628438193E-4</v>
      </c>
    </row>
    <row r="324" spans="1:11" x14ac:dyDescent="0.35">
      <c r="A324" s="5" t="s">
        <v>5</v>
      </c>
      <c r="B324" s="5" t="str">
        <f t="shared" si="170"/>
        <v>SPS3</v>
      </c>
      <c r="C324" s="5" t="s">
        <v>7</v>
      </c>
      <c r="D324" t="s">
        <v>852</v>
      </c>
      <c r="E324" t="str">
        <f t="shared" si="163"/>
        <v>PJ/yr.</v>
      </c>
      <c r="F324" s="1">
        <f>F308-F340</f>
        <v>2.9404709083425411</v>
      </c>
      <c r="G324" s="1">
        <f t="shared" ref="G324:K324" si="172">G308-G340</f>
        <v>1.4564723688078614</v>
      </c>
      <c r="H324" s="1">
        <f t="shared" si="172"/>
        <v>0.34195132775421078</v>
      </c>
      <c r="I324" s="1">
        <f t="shared" si="172"/>
        <v>1.5127176009182732</v>
      </c>
      <c r="J324" s="1">
        <f t="shared" si="172"/>
        <v>2.5110704819829985</v>
      </c>
      <c r="K324" s="1">
        <f t="shared" si="172"/>
        <v>1.7252410820045583E-4</v>
      </c>
    </row>
    <row r="325" spans="1:11" x14ac:dyDescent="0.35">
      <c r="A325" s="5" t="s">
        <v>5</v>
      </c>
      <c r="B325" s="5" t="str">
        <f t="shared" si="170"/>
        <v>SPS3</v>
      </c>
      <c r="C325" s="5" t="s">
        <v>7</v>
      </c>
      <c r="D325" t="s">
        <v>579</v>
      </c>
      <c r="E325" t="str">
        <f t="shared" si="163"/>
        <v>PJ/yr.</v>
      </c>
      <c r="F325" s="1">
        <f>IFERROR(F97/F81,0)*F309</f>
        <v>0</v>
      </c>
      <c r="G325" s="1">
        <f t="shared" ref="G325:K325" si="173">IFERROR(G97/G81,0)*G309</f>
        <v>0</v>
      </c>
      <c r="H325" s="1">
        <f t="shared" si="173"/>
        <v>0</v>
      </c>
      <c r="I325" s="1">
        <f t="shared" si="173"/>
        <v>0</v>
      </c>
      <c r="J325" s="1">
        <f t="shared" si="173"/>
        <v>1.1272816344205529E-3</v>
      </c>
      <c r="K325" s="1">
        <f t="shared" si="173"/>
        <v>1.5163088601627713E-6</v>
      </c>
    </row>
    <row r="326" spans="1:11" x14ac:dyDescent="0.35">
      <c r="A326" s="5" t="s">
        <v>5</v>
      </c>
      <c r="B326" s="5" t="str">
        <f t="shared" si="170"/>
        <v>SPS3</v>
      </c>
      <c r="C326" s="5" t="s">
        <v>7</v>
      </c>
      <c r="D326" t="s">
        <v>580</v>
      </c>
      <c r="E326" t="str">
        <f t="shared" si="163"/>
        <v>PJ/yr.</v>
      </c>
      <c r="F326" s="1">
        <f t="shared" ref="F326:K326" si="174">IFERROR(F98/F82,0)*F310</f>
        <v>0</v>
      </c>
      <c r="G326" s="1">
        <f t="shared" si="174"/>
        <v>0</v>
      </c>
      <c r="H326" s="1">
        <f t="shared" si="174"/>
        <v>0</v>
      </c>
      <c r="I326" s="1">
        <f t="shared" si="174"/>
        <v>9.0687140337221742E-4</v>
      </c>
      <c r="J326" s="1">
        <f t="shared" si="174"/>
        <v>6.3816712536681386E-4</v>
      </c>
      <c r="K326" s="1">
        <f t="shared" si="174"/>
        <v>1.0294567910669043E-7</v>
      </c>
    </row>
    <row r="327" spans="1:11" x14ac:dyDescent="0.35">
      <c r="A327" s="5" t="s">
        <v>5</v>
      </c>
      <c r="B327" s="5" t="str">
        <f t="shared" si="170"/>
        <v>SPS3</v>
      </c>
      <c r="C327" s="5" t="s">
        <v>7</v>
      </c>
      <c r="D327" t="s">
        <v>581</v>
      </c>
      <c r="E327" t="str">
        <f t="shared" si="163"/>
        <v>PJ/yr.</v>
      </c>
      <c r="F327" s="1">
        <f t="shared" ref="F327:K327" si="175">IFERROR(F99/F83,0)*F311</f>
        <v>0</v>
      </c>
      <c r="G327" s="1">
        <f t="shared" si="175"/>
        <v>0</v>
      </c>
      <c r="H327" s="1">
        <f t="shared" si="175"/>
        <v>0</v>
      </c>
      <c r="I327" s="1">
        <f t="shared" si="175"/>
        <v>0</v>
      </c>
      <c r="J327" s="1">
        <f t="shared" si="175"/>
        <v>5.9432387633001637E-4</v>
      </c>
      <c r="K327" s="1">
        <f t="shared" si="175"/>
        <v>1.7021659361037613E-4</v>
      </c>
    </row>
    <row r="328" spans="1:11" x14ac:dyDescent="0.35">
      <c r="A328" s="5" t="s">
        <v>5</v>
      </c>
      <c r="B328" s="5" t="str">
        <f t="shared" si="170"/>
        <v>SPS3</v>
      </c>
      <c r="C328" s="5" t="s">
        <v>7</v>
      </c>
      <c r="D328" t="s">
        <v>582</v>
      </c>
      <c r="E328" t="str">
        <f t="shared" si="163"/>
        <v>PJ/yr.</v>
      </c>
      <c r="F328" s="1">
        <f t="shared" ref="F328:K328" si="176">IFERROR(F100/F84,0)*F312</f>
        <v>1.2578056639871342</v>
      </c>
      <c r="G328" s="1">
        <f t="shared" si="176"/>
        <v>8.4293745855370779E-4</v>
      </c>
      <c r="H328" s="1">
        <f t="shared" si="176"/>
        <v>0.24242875681740833</v>
      </c>
      <c r="I328" s="1">
        <f t="shared" si="176"/>
        <v>7.4083783305398836E-4</v>
      </c>
      <c r="J328" s="1">
        <f t="shared" si="176"/>
        <v>5.5840281494404351E-4</v>
      </c>
      <c r="K328" s="1">
        <f t="shared" si="176"/>
        <v>1.2492466870844016E-8</v>
      </c>
    </row>
    <row r="329" spans="1:11" x14ac:dyDescent="0.35">
      <c r="A329" s="5" t="s">
        <v>5</v>
      </c>
      <c r="B329" s="5" t="str">
        <f t="shared" si="170"/>
        <v>SPS3</v>
      </c>
      <c r="C329" s="5" t="s">
        <v>7</v>
      </c>
      <c r="D329" t="s">
        <v>583</v>
      </c>
      <c r="E329" t="str">
        <f t="shared" si="163"/>
        <v>PJ/yr.</v>
      </c>
      <c r="F329" s="1">
        <f t="shared" ref="F329:K329" si="177">IFERROR(F101/F85,0)*F313</f>
        <v>0</v>
      </c>
      <c r="G329" s="1">
        <f t="shared" si="177"/>
        <v>0</v>
      </c>
      <c r="H329" s="1">
        <f t="shared" si="177"/>
        <v>0</v>
      </c>
      <c r="I329" s="1">
        <f t="shared" si="177"/>
        <v>0</v>
      </c>
      <c r="J329" s="1">
        <f t="shared" si="177"/>
        <v>0.21693450768552514</v>
      </c>
      <c r="K329" s="1">
        <f t="shared" si="177"/>
        <v>1.8339301732880752E-8</v>
      </c>
    </row>
    <row r="330" spans="1:11" x14ac:dyDescent="0.35">
      <c r="A330" s="5" t="s">
        <v>5</v>
      </c>
      <c r="B330" s="5" t="str">
        <f t="shared" si="170"/>
        <v>SPS3</v>
      </c>
      <c r="C330" s="5" t="s">
        <v>7</v>
      </c>
      <c r="D330" t="s">
        <v>584</v>
      </c>
      <c r="E330" t="str">
        <f t="shared" si="163"/>
        <v>PJ/yr.</v>
      </c>
      <c r="F330" s="1">
        <f t="shared" ref="F330:K330" si="178">IFERROR(F102/F86,0)*F314</f>
        <v>0.87019474381630579</v>
      </c>
      <c r="G330" s="1">
        <f t="shared" si="178"/>
        <v>0.67710908323178132</v>
      </c>
      <c r="H330" s="1">
        <f t="shared" si="178"/>
        <v>6.9534191752281427E-2</v>
      </c>
      <c r="I330" s="1">
        <f t="shared" si="178"/>
        <v>2.9586264904873177E-2</v>
      </c>
      <c r="J330" s="1">
        <f t="shared" si="178"/>
        <v>5.1225433625439959E-3</v>
      </c>
      <c r="K330" s="1">
        <f t="shared" si="178"/>
        <v>2.6097608638894942E-7</v>
      </c>
    </row>
    <row r="331" spans="1:11" x14ac:dyDescent="0.35">
      <c r="A331" s="5" t="s">
        <v>5</v>
      </c>
      <c r="B331" s="5" t="str">
        <f t="shared" si="170"/>
        <v>SPS3</v>
      </c>
      <c r="C331" s="5" t="s">
        <v>7</v>
      </c>
      <c r="D331" t="s">
        <v>585</v>
      </c>
      <c r="E331" t="str">
        <f t="shared" si="163"/>
        <v>PJ/yr.</v>
      </c>
      <c r="F331" s="1">
        <f t="shared" ref="F331:K331" si="179">IFERROR(F103/F87,0)*F315</f>
        <v>0</v>
      </c>
      <c r="G331" s="1">
        <f t="shared" si="179"/>
        <v>0</v>
      </c>
      <c r="H331" s="1">
        <f t="shared" si="179"/>
        <v>0</v>
      </c>
      <c r="I331" s="1">
        <f t="shared" si="179"/>
        <v>0</v>
      </c>
      <c r="J331" s="1">
        <f t="shared" si="179"/>
        <v>3.3503052333251626E-4</v>
      </c>
      <c r="K331" s="1">
        <f t="shared" si="179"/>
        <v>1.0828766182243958E-7</v>
      </c>
    </row>
    <row r="332" spans="1:11" x14ac:dyDescent="0.35">
      <c r="A332" s="5" t="s">
        <v>5</v>
      </c>
      <c r="B332" s="5" t="str">
        <f t="shared" si="170"/>
        <v>SPS3</v>
      </c>
      <c r="C332" s="5" t="s">
        <v>7</v>
      </c>
      <c r="D332" t="s">
        <v>586</v>
      </c>
      <c r="E332" t="str">
        <f t="shared" si="163"/>
        <v>PJ/yr.</v>
      </c>
      <c r="F332" s="1">
        <f t="shared" ref="F332:K332" si="180">IFERROR(F104/F88,0)*F316</f>
        <v>0</v>
      </c>
      <c r="G332" s="1">
        <f t="shared" si="180"/>
        <v>0</v>
      </c>
      <c r="H332" s="1">
        <f t="shared" si="180"/>
        <v>0</v>
      </c>
      <c r="I332" s="1">
        <f t="shared" si="180"/>
        <v>0</v>
      </c>
      <c r="J332" s="1">
        <f t="shared" si="180"/>
        <v>0</v>
      </c>
      <c r="K332" s="1">
        <f t="shared" si="180"/>
        <v>0</v>
      </c>
    </row>
    <row r="333" spans="1:11" x14ac:dyDescent="0.35">
      <c r="A333" s="5" t="s">
        <v>5</v>
      </c>
      <c r="B333" s="5" t="str">
        <f t="shared" si="170"/>
        <v>SPS3</v>
      </c>
      <c r="C333" s="5" t="s">
        <v>7</v>
      </c>
      <c r="D333" t="s">
        <v>587</v>
      </c>
      <c r="E333" t="str">
        <f t="shared" si="163"/>
        <v>PJ/yr.</v>
      </c>
      <c r="F333" s="1">
        <f t="shared" ref="F333:K333" si="181">IFERROR(F105/F89,0)*F317</f>
        <v>2.1966455923072926E-2</v>
      </c>
      <c r="G333" s="1">
        <f t="shared" si="181"/>
        <v>1.755198153376783E-3</v>
      </c>
      <c r="H333" s="1">
        <f t="shared" si="181"/>
        <v>5.4778128444188607E-3</v>
      </c>
      <c r="I333" s="1">
        <f t="shared" si="181"/>
        <v>5.1383321946141085E-3</v>
      </c>
      <c r="J333" s="1">
        <f t="shared" si="181"/>
        <v>2.9298750314284022E-3</v>
      </c>
      <c r="K333" s="1">
        <f t="shared" si="181"/>
        <v>3.297608860269462E-9</v>
      </c>
    </row>
    <row r="334" spans="1:11" x14ac:dyDescent="0.35">
      <c r="A334" s="5" t="s">
        <v>5</v>
      </c>
      <c r="B334" s="5" t="str">
        <f t="shared" si="170"/>
        <v>SPS3</v>
      </c>
      <c r="C334" s="5" t="s">
        <v>7</v>
      </c>
      <c r="D334" t="s">
        <v>588</v>
      </c>
      <c r="E334" t="str">
        <f t="shared" si="163"/>
        <v>PJ/yr.</v>
      </c>
      <c r="F334" s="1">
        <f t="shared" ref="F334:K334" si="182">IFERROR(F106/F90,0)*F318</f>
        <v>0</v>
      </c>
      <c r="G334" s="1">
        <f t="shared" si="182"/>
        <v>0</v>
      </c>
      <c r="H334" s="1">
        <f t="shared" si="182"/>
        <v>0</v>
      </c>
      <c r="I334" s="1">
        <f t="shared" si="182"/>
        <v>1.6849665934328384E-3</v>
      </c>
      <c r="J334" s="1">
        <f t="shared" si="182"/>
        <v>2.8493942624514272E-3</v>
      </c>
      <c r="K334" s="1">
        <f t="shared" si="182"/>
        <v>7.740381001216491E-8</v>
      </c>
    </row>
    <row r="335" spans="1:11" x14ac:dyDescent="0.35">
      <c r="A335" s="5" t="s">
        <v>5</v>
      </c>
      <c r="B335" s="5" t="str">
        <f t="shared" si="170"/>
        <v>SPS3</v>
      </c>
      <c r="C335" s="5" t="s">
        <v>7</v>
      </c>
      <c r="D335" t="s">
        <v>589</v>
      </c>
      <c r="E335" t="str">
        <f t="shared" si="163"/>
        <v>PJ/yr.</v>
      </c>
      <c r="F335" s="1">
        <f t="shared" ref="F335:K335" si="183">IFERROR(F107/F91,0)*F319</f>
        <v>3.1223024372276163E-2</v>
      </c>
      <c r="G335" s="1">
        <f t="shared" si="183"/>
        <v>1.7014093165640997E-3</v>
      </c>
      <c r="H335" s="1">
        <f t="shared" si="183"/>
        <v>1.0276265670744189E-2</v>
      </c>
      <c r="I335" s="1">
        <f t="shared" si="183"/>
        <v>1.4568013551677588</v>
      </c>
      <c r="J335" s="1">
        <f t="shared" si="183"/>
        <v>0.5809218042271832</v>
      </c>
      <c r="K335" s="1">
        <f t="shared" si="183"/>
        <v>3.7060178169138357E-9</v>
      </c>
    </row>
    <row r="336" spans="1:11" x14ac:dyDescent="0.35">
      <c r="A336" s="5" t="s">
        <v>5</v>
      </c>
      <c r="B336" s="5" t="str">
        <f t="shared" si="170"/>
        <v>SPS3</v>
      </c>
      <c r="C336" s="5" t="s">
        <v>7</v>
      </c>
      <c r="D336" t="s">
        <v>590</v>
      </c>
      <c r="E336" t="str">
        <f t="shared" si="163"/>
        <v>PJ/yr.</v>
      </c>
      <c r="F336" s="1">
        <f t="shared" ref="F336:K336" si="184">IFERROR(F108/F92,0)*F320</f>
        <v>0</v>
      </c>
      <c r="G336" s="1">
        <f t="shared" si="184"/>
        <v>0</v>
      </c>
      <c r="H336" s="1">
        <f t="shared" si="184"/>
        <v>0</v>
      </c>
      <c r="I336" s="1">
        <f t="shared" si="184"/>
        <v>9.1685125998903216E-3</v>
      </c>
      <c r="J336" s="1">
        <f t="shared" si="184"/>
        <v>1.6964427693428425</v>
      </c>
      <c r="K336" s="1">
        <f t="shared" si="184"/>
        <v>9.1709615130881822E-8</v>
      </c>
    </row>
    <row r="337" spans="1:11" x14ac:dyDescent="0.35">
      <c r="A337" s="5" t="s">
        <v>5</v>
      </c>
      <c r="B337" s="5" t="str">
        <f t="shared" si="170"/>
        <v>SPS3</v>
      </c>
      <c r="C337" s="5" t="s">
        <v>7</v>
      </c>
      <c r="D337" t="s">
        <v>591</v>
      </c>
      <c r="E337" t="str">
        <f t="shared" si="163"/>
        <v>PJ/yr.</v>
      </c>
      <c r="F337" s="1">
        <f t="shared" ref="F337:K337" si="185">IFERROR(F109/F93,0)*F321</f>
        <v>0</v>
      </c>
      <c r="G337" s="1">
        <f t="shared" si="185"/>
        <v>0</v>
      </c>
      <c r="H337" s="1">
        <f t="shared" si="185"/>
        <v>0</v>
      </c>
      <c r="I337" s="1">
        <f t="shared" si="185"/>
        <v>0</v>
      </c>
      <c r="J337" s="1">
        <f t="shared" si="185"/>
        <v>0</v>
      </c>
      <c r="K337" s="1">
        <f t="shared" si="185"/>
        <v>0</v>
      </c>
    </row>
    <row r="338" spans="1:11" x14ac:dyDescent="0.35">
      <c r="A338" s="5" t="s">
        <v>5</v>
      </c>
      <c r="B338" s="5" t="str">
        <f t="shared" si="170"/>
        <v>SPS3</v>
      </c>
      <c r="C338" s="5" t="s">
        <v>7</v>
      </c>
      <c r="D338" t="s">
        <v>592</v>
      </c>
      <c r="E338" t="str">
        <f t="shared" si="163"/>
        <v>PJ/yr.</v>
      </c>
      <c r="F338" s="1">
        <f t="shared" ref="F338:K338" si="186">IFERROR(F110/F94,0)*F322</f>
        <v>0.75928102024375155</v>
      </c>
      <c r="G338" s="1">
        <f t="shared" si="186"/>
        <v>0.77506374064758576</v>
      </c>
      <c r="H338" s="1">
        <f t="shared" si="186"/>
        <v>1.4234300669357833E-2</v>
      </c>
      <c r="I338" s="1">
        <f t="shared" si="186"/>
        <v>7.8046535543268326E-3</v>
      </c>
      <c r="J338" s="1">
        <f t="shared" si="186"/>
        <v>2.3301385780614086E-4</v>
      </c>
      <c r="K338" s="1">
        <f t="shared" si="186"/>
        <v>4.1124462447559127E-8</v>
      </c>
    </row>
    <row r="339" spans="1:11" x14ac:dyDescent="0.35">
      <c r="A339" s="5" t="s">
        <v>5</v>
      </c>
      <c r="B339" s="5" t="str">
        <f t="shared" si="170"/>
        <v>SPS3</v>
      </c>
      <c r="C339" s="5" t="s">
        <v>7</v>
      </c>
      <c r="D339" t="s">
        <v>593</v>
      </c>
      <c r="E339" t="str">
        <f t="shared" si="163"/>
        <v>PJ/yr.</v>
      </c>
      <c r="F339" s="1">
        <f t="shared" ref="F339:K339" si="187">IFERROR(F111/F95,0)*F323</f>
        <v>0</v>
      </c>
      <c r="G339" s="1">
        <f t="shared" si="187"/>
        <v>0</v>
      </c>
      <c r="H339" s="1">
        <f t="shared" si="187"/>
        <v>0</v>
      </c>
      <c r="I339" s="1">
        <f t="shared" si="187"/>
        <v>8.8580666695041758E-4</v>
      </c>
      <c r="J339" s="1">
        <f t="shared" si="187"/>
        <v>2.3833682388233659E-3</v>
      </c>
      <c r="K339" s="1">
        <f t="shared" si="187"/>
        <v>7.0923021356495113E-8</v>
      </c>
    </row>
    <row r="340" spans="1:11" x14ac:dyDescent="0.35">
      <c r="A340" s="5" t="s">
        <v>5</v>
      </c>
      <c r="B340" s="5" t="str">
        <f t="shared" si="170"/>
        <v>SPS3</v>
      </c>
      <c r="C340" s="5" t="s">
        <v>7</v>
      </c>
      <c r="D340" t="s">
        <v>853</v>
      </c>
      <c r="E340" t="str">
        <f t="shared" si="163"/>
        <v>PJ/yr.</v>
      </c>
      <c r="F340" s="1">
        <f>SUM(F341:F355)</f>
        <v>1.1429557096681213</v>
      </c>
      <c r="G340" s="1">
        <f t="shared" ref="G340:K340" si="188">SUM(G341:G355)</f>
        <v>1.2844789763257252</v>
      </c>
      <c r="H340" s="1">
        <f t="shared" si="188"/>
        <v>1.6488787371454738</v>
      </c>
      <c r="I340" s="1">
        <f t="shared" si="188"/>
        <v>1.6218530508563433</v>
      </c>
      <c r="J340" s="1">
        <f t="shared" si="188"/>
        <v>5.2724264313471982</v>
      </c>
      <c r="K340" s="1">
        <f t="shared" si="188"/>
        <v>6.4858603596887781</v>
      </c>
    </row>
    <row r="341" spans="1:11" x14ac:dyDescent="0.35">
      <c r="A341" s="5" t="s">
        <v>5</v>
      </c>
      <c r="B341" s="5" t="str">
        <f t="shared" si="170"/>
        <v>SPS3</v>
      </c>
      <c r="C341" s="5" t="s">
        <v>7</v>
      </c>
      <c r="D341" t="s">
        <v>640</v>
      </c>
      <c r="E341" t="str">
        <f t="shared" si="163"/>
        <v>PJ/yr.</v>
      </c>
      <c r="F341" s="1">
        <f>F309-F325</f>
        <v>0</v>
      </c>
      <c r="G341" s="1">
        <f t="shared" ref="G341:K341" si="189">G309-G325</f>
        <v>0</v>
      </c>
      <c r="H341" s="1">
        <f t="shared" si="189"/>
        <v>0</v>
      </c>
      <c r="I341" s="1">
        <f t="shared" si="189"/>
        <v>0</v>
      </c>
      <c r="J341" s="1">
        <f t="shared" si="189"/>
        <v>5.507923059789783E-4</v>
      </c>
      <c r="K341" s="1">
        <f t="shared" si="189"/>
        <v>1.1113287607048586E-2</v>
      </c>
    </row>
    <row r="342" spans="1:11" x14ac:dyDescent="0.35">
      <c r="A342" s="5" t="s">
        <v>5</v>
      </c>
      <c r="B342" s="5" t="str">
        <f t="shared" si="170"/>
        <v>SPS3</v>
      </c>
      <c r="C342" s="5" t="s">
        <v>7</v>
      </c>
      <c r="D342" t="s">
        <v>641</v>
      </c>
      <c r="E342" t="str">
        <f t="shared" si="163"/>
        <v>PJ/yr.</v>
      </c>
      <c r="F342" s="1">
        <f t="shared" ref="F342:K342" si="190">F310-F326</f>
        <v>0</v>
      </c>
      <c r="G342" s="1">
        <f t="shared" si="190"/>
        <v>0</v>
      </c>
      <c r="H342" s="1">
        <f t="shared" si="190"/>
        <v>0</v>
      </c>
      <c r="I342" s="1">
        <f t="shared" si="190"/>
        <v>1.045130793956104E-4</v>
      </c>
      <c r="J342" s="1">
        <f t="shared" si="190"/>
        <v>3.1180987239399181E-4</v>
      </c>
      <c r="K342" s="1">
        <f t="shared" si="190"/>
        <v>7.5450653219379668E-4</v>
      </c>
    </row>
    <row r="343" spans="1:11" x14ac:dyDescent="0.35">
      <c r="A343" s="5" t="s">
        <v>5</v>
      </c>
      <c r="B343" s="5" t="str">
        <f t="shared" si="170"/>
        <v>SPS3</v>
      </c>
      <c r="C343" s="5" t="s">
        <v>7</v>
      </c>
      <c r="D343" t="s">
        <v>642</v>
      </c>
      <c r="E343" t="str">
        <f t="shared" si="163"/>
        <v>PJ/yr.</v>
      </c>
      <c r="F343" s="1">
        <f t="shared" ref="F343:K343" si="191">F311-F327</f>
        <v>0</v>
      </c>
      <c r="G343" s="1">
        <f t="shared" si="191"/>
        <v>0</v>
      </c>
      <c r="H343" s="1">
        <f t="shared" si="191"/>
        <v>0</v>
      </c>
      <c r="I343" s="1">
        <f t="shared" si="191"/>
        <v>0</v>
      </c>
      <c r="J343" s="1">
        <f t="shared" si="191"/>
        <v>2.9038796370566206E-4</v>
      </c>
      <c r="K343" s="1">
        <f t="shared" si="191"/>
        <v>1.247546598178938</v>
      </c>
    </row>
    <row r="344" spans="1:11" x14ac:dyDescent="0.35">
      <c r="A344" s="5" t="s">
        <v>5</v>
      </c>
      <c r="B344" s="5" t="str">
        <f t="shared" si="170"/>
        <v>SPS3</v>
      </c>
      <c r="C344" s="5" t="s">
        <v>7</v>
      </c>
      <c r="D344" t="s">
        <v>643</v>
      </c>
      <c r="E344" t="str">
        <f t="shared" si="163"/>
        <v>PJ/yr.</v>
      </c>
      <c r="F344" s="1">
        <f t="shared" ref="F344:K344" si="192">F312-F328</f>
        <v>3.3469706176486369E-2</v>
      </c>
      <c r="G344" s="1">
        <f t="shared" si="192"/>
        <v>1.7054753624065784E-5</v>
      </c>
      <c r="H344" s="1">
        <f t="shared" si="192"/>
        <v>1.2302812668448793E-3</v>
      </c>
      <c r="I344" s="1">
        <f t="shared" si="192"/>
        <v>8.5378415260784195E-5</v>
      </c>
      <c r="J344" s="1">
        <f t="shared" si="192"/>
        <v>2.7283685346854523E-4</v>
      </c>
      <c r="K344" s="1">
        <f t="shared" si="192"/>
        <v>9.1559431527965239E-5</v>
      </c>
    </row>
    <row r="345" spans="1:11" x14ac:dyDescent="0.35">
      <c r="A345" s="5" t="s">
        <v>5</v>
      </c>
      <c r="B345" s="5" t="str">
        <f t="shared" si="170"/>
        <v>SPS3</v>
      </c>
      <c r="C345" s="5" t="s">
        <v>7</v>
      </c>
      <c r="D345" t="s">
        <v>644</v>
      </c>
      <c r="E345" t="str">
        <f t="shared" si="163"/>
        <v>PJ/yr.</v>
      </c>
      <c r="F345" s="1">
        <f t="shared" ref="F345:K345" si="193">F313-F329</f>
        <v>0</v>
      </c>
      <c r="G345" s="1">
        <f t="shared" si="193"/>
        <v>0</v>
      </c>
      <c r="H345" s="1">
        <f t="shared" si="193"/>
        <v>0</v>
      </c>
      <c r="I345" s="1">
        <f t="shared" si="193"/>
        <v>0</v>
      </c>
      <c r="J345" s="1">
        <f t="shared" si="193"/>
        <v>0.10599468144084778</v>
      </c>
      <c r="K345" s="1">
        <f t="shared" si="193"/>
        <v>1.3441188667078608E-4</v>
      </c>
    </row>
    <row r="346" spans="1:11" x14ac:dyDescent="0.35">
      <c r="A346" s="5" t="s">
        <v>5</v>
      </c>
      <c r="B346" s="5" t="str">
        <f t="shared" si="170"/>
        <v>SPS3</v>
      </c>
      <c r="C346" s="5" t="s">
        <v>7</v>
      </c>
      <c r="D346" t="s">
        <v>645</v>
      </c>
      <c r="E346" t="str">
        <f t="shared" si="163"/>
        <v>PJ/yr.</v>
      </c>
      <c r="F346" s="1">
        <f t="shared" ref="F346:K346" si="194">F314-F330</f>
        <v>2.3155534456356541E-2</v>
      </c>
      <c r="G346" s="1">
        <f t="shared" si="194"/>
        <v>1.3699626791943476E-2</v>
      </c>
      <c r="H346" s="1">
        <f t="shared" si="194"/>
        <v>3.5287320960220026E-4</v>
      </c>
      <c r="I346" s="1">
        <f t="shared" si="194"/>
        <v>3.4096914309177107E-3</v>
      </c>
      <c r="J346" s="1">
        <f t="shared" si="194"/>
        <v>2.5028860446069503E-3</v>
      </c>
      <c r="K346" s="1">
        <f t="shared" si="194"/>
        <v>1.9127384814548272E-3</v>
      </c>
    </row>
    <row r="347" spans="1:11" x14ac:dyDescent="0.35">
      <c r="A347" s="5" t="s">
        <v>5</v>
      </c>
      <c r="B347" s="5" t="str">
        <f t="shared" si="170"/>
        <v>SPS3</v>
      </c>
      <c r="C347" s="5" t="s">
        <v>7</v>
      </c>
      <c r="D347" t="s">
        <v>646</v>
      </c>
      <c r="E347" t="str">
        <f t="shared" si="163"/>
        <v>PJ/yr.</v>
      </c>
      <c r="F347" s="1">
        <f t="shared" ref="F347:K347" si="195">F315-F331</f>
        <v>0</v>
      </c>
      <c r="G347" s="1">
        <f t="shared" si="195"/>
        <v>0</v>
      </c>
      <c r="H347" s="1">
        <f t="shared" si="195"/>
        <v>0</v>
      </c>
      <c r="I347" s="1">
        <f t="shared" si="195"/>
        <v>0</v>
      </c>
      <c r="J347" s="1">
        <f t="shared" si="195"/>
        <v>1.6369665652764232E-4</v>
      </c>
      <c r="K347" s="1">
        <f t="shared" si="195"/>
        <v>7.9365883939907025E-4</v>
      </c>
    </row>
    <row r="348" spans="1:11" x14ac:dyDescent="0.35">
      <c r="A348" s="5" t="s">
        <v>5</v>
      </c>
      <c r="B348" s="5" t="str">
        <f t="shared" si="170"/>
        <v>SPS3</v>
      </c>
      <c r="C348" s="5" t="s">
        <v>7</v>
      </c>
      <c r="D348" t="s">
        <v>647</v>
      </c>
      <c r="E348" t="str">
        <f t="shared" si="163"/>
        <v>PJ/yr.</v>
      </c>
      <c r="F348" s="1">
        <f t="shared" ref="F348:K348" si="196">F316-F332</f>
        <v>0</v>
      </c>
      <c r="G348" s="1">
        <f t="shared" si="196"/>
        <v>0</v>
      </c>
      <c r="H348" s="1">
        <f t="shared" si="196"/>
        <v>0</v>
      </c>
      <c r="I348" s="1">
        <f t="shared" si="196"/>
        <v>0</v>
      </c>
      <c r="J348" s="1">
        <f t="shared" si="196"/>
        <v>0</v>
      </c>
      <c r="K348" s="1">
        <f t="shared" si="196"/>
        <v>0</v>
      </c>
    </row>
    <row r="349" spans="1:11" x14ac:dyDescent="0.35">
      <c r="A349" s="5" t="s">
        <v>5</v>
      </c>
      <c r="B349" s="5" t="str">
        <f t="shared" si="170"/>
        <v>SPS3</v>
      </c>
      <c r="C349" s="5" t="s">
        <v>7</v>
      </c>
      <c r="D349" t="s">
        <v>648</v>
      </c>
      <c r="E349" t="str">
        <f t="shared" si="163"/>
        <v>PJ/yr.</v>
      </c>
      <c r="F349" s="1">
        <f t="shared" ref="F349:K349" si="197">F317-F333</f>
        <v>5.8451861566073335E-4</v>
      </c>
      <c r="G349" s="1">
        <f t="shared" si="197"/>
        <v>3.5512091393609608E-5</v>
      </c>
      <c r="H349" s="1">
        <f t="shared" si="197"/>
        <v>2.7798890751423895E-5</v>
      </c>
      <c r="I349" s="1">
        <f t="shared" si="197"/>
        <v>5.9217097222361969E-4</v>
      </c>
      <c r="J349" s="1">
        <f t="shared" si="197"/>
        <v>1.4315434364547109E-3</v>
      </c>
      <c r="K349" s="1">
        <f t="shared" si="197"/>
        <v>2.4168740711448208E-5</v>
      </c>
    </row>
    <row r="350" spans="1:11" x14ac:dyDescent="0.35">
      <c r="A350" s="5" t="s">
        <v>5</v>
      </c>
      <c r="B350" s="5" t="str">
        <f t="shared" si="170"/>
        <v>SPS3</v>
      </c>
      <c r="C350" s="5" t="s">
        <v>7</v>
      </c>
      <c r="D350" t="s">
        <v>649</v>
      </c>
      <c r="E350" t="str">
        <f t="shared" si="163"/>
        <v>PJ/yr.</v>
      </c>
      <c r="F350" s="1">
        <f t="shared" ref="F350:K350" si="198">F318-F334</f>
        <v>0</v>
      </c>
      <c r="G350" s="1">
        <f t="shared" si="198"/>
        <v>0</v>
      </c>
      <c r="H350" s="1">
        <f t="shared" si="198"/>
        <v>0</v>
      </c>
      <c r="I350" s="1">
        <f t="shared" si="198"/>
        <v>1.9418524688678265E-4</v>
      </c>
      <c r="J350" s="1">
        <f t="shared" si="198"/>
        <v>1.3922203542911528E-3</v>
      </c>
      <c r="K350" s="1">
        <f t="shared" si="198"/>
        <v>5.6730579445043723E-4</v>
      </c>
    </row>
    <row r="351" spans="1:11" x14ac:dyDescent="0.35">
      <c r="A351" s="5" t="s">
        <v>5</v>
      </c>
      <c r="B351" s="5" t="str">
        <f t="shared" si="170"/>
        <v>SPS3</v>
      </c>
      <c r="C351" s="5" t="s">
        <v>7</v>
      </c>
      <c r="D351" t="s">
        <v>650</v>
      </c>
      <c r="E351" t="str">
        <f t="shared" si="163"/>
        <v>PJ/yr.</v>
      </c>
      <c r="F351" s="1">
        <f t="shared" ref="F351:K351" si="199">F319-F335</f>
        <v>8.3083220373544875E-4</v>
      </c>
      <c r="G351" s="1">
        <f t="shared" si="199"/>
        <v>3.4423807381247151E-5</v>
      </c>
      <c r="H351" s="1">
        <f t="shared" si="199"/>
        <v>5.2150154601336013E-5</v>
      </c>
      <c r="I351" s="1">
        <f t="shared" si="199"/>
        <v>0.16789017178192922</v>
      </c>
      <c r="J351" s="1">
        <f t="shared" si="199"/>
        <v>0.28383968156123551</v>
      </c>
      <c r="K351" s="1">
        <f t="shared" si="199"/>
        <v>2.7162039976330306E-5</v>
      </c>
    </row>
    <row r="352" spans="1:11" x14ac:dyDescent="0.35">
      <c r="A352" s="5" t="s">
        <v>5</v>
      </c>
      <c r="B352" s="5" t="str">
        <f t="shared" si="170"/>
        <v>SPS3</v>
      </c>
      <c r="C352" s="5" t="s">
        <v>7</v>
      </c>
      <c r="D352" t="s">
        <v>651</v>
      </c>
      <c r="E352" t="str">
        <f t="shared" si="163"/>
        <v>PJ/yr.</v>
      </c>
      <c r="F352" s="1">
        <f t="shared" ref="F352:K352" si="200">F320-F336</f>
        <v>0</v>
      </c>
      <c r="G352" s="1">
        <f t="shared" si="200"/>
        <v>0</v>
      </c>
      <c r="H352" s="1">
        <f t="shared" si="200"/>
        <v>0</v>
      </c>
      <c r="I352" s="1">
        <f t="shared" si="200"/>
        <v>1.0566321550429282E-3</v>
      </c>
      <c r="J352" s="1">
        <f t="shared" si="200"/>
        <v>0.82888569844216731</v>
      </c>
      <c r="K352" s="1">
        <f t="shared" si="200"/>
        <v>6.7215549289400113E-4</v>
      </c>
    </row>
    <row r="353" spans="1:15" x14ac:dyDescent="0.35">
      <c r="A353" s="5" t="s">
        <v>5</v>
      </c>
      <c r="B353" s="5" t="str">
        <f t="shared" si="170"/>
        <v>SPS3</v>
      </c>
      <c r="C353" s="5" t="s">
        <v>7</v>
      </c>
      <c r="D353" t="s">
        <v>652</v>
      </c>
      <c r="E353" t="str">
        <f t="shared" si="163"/>
        <v>PJ/yr.</v>
      </c>
      <c r="F353" s="1">
        <f t="shared" ref="F353:K353" si="201">F321-F337</f>
        <v>1.0647109536294512</v>
      </c>
      <c r="G353" s="1">
        <f t="shared" si="201"/>
        <v>1.2550108619855498</v>
      </c>
      <c r="H353" s="1">
        <f t="shared" si="201"/>
        <v>1.6471433971708289</v>
      </c>
      <c r="I353" s="1">
        <f t="shared" si="201"/>
        <v>1.447518769126855</v>
      </c>
      <c r="J353" s="1">
        <f t="shared" si="201"/>
        <v>4.0455118263220822</v>
      </c>
      <c r="K353" s="1">
        <f t="shared" si="201"/>
        <v>5.221401591444188</v>
      </c>
    </row>
    <row r="354" spans="1:15" x14ac:dyDescent="0.35">
      <c r="A354" s="5" t="s">
        <v>5</v>
      </c>
      <c r="B354" s="5" t="str">
        <f t="shared" si="170"/>
        <v>SPS3</v>
      </c>
      <c r="C354" s="5" t="s">
        <v>7</v>
      </c>
      <c r="D354" t="s">
        <v>653</v>
      </c>
      <c r="E354" t="str">
        <f t="shared" si="163"/>
        <v>PJ/yr.</v>
      </c>
      <c r="F354" s="1">
        <f t="shared" ref="F354:K354" si="202">F322-F338</f>
        <v>2.0204164586431039E-2</v>
      </c>
      <c r="G354" s="1">
        <f t="shared" si="202"/>
        <v>1.568149689583298E-2</v>
      </c>
      <c r="H354" s="1">
        <f t="shared" si="202"/>
        <v>7.2236452845146626E-5</v>
      </c>
      <c r="I354" s="1">
        <f t="shared" si="202"/>
        <v>8.9945318988496163E-4</v>
      </c>
      <c r="J354" s="1">
        <f t="shared" si="202"/>
        <v>1.1385108756080528E-4</v>
      </c>
      <c r="K354" s="1">
        <f t="shared" si="202"/>
        <v>3.0140823606096984E-4</v>
      </c>
    </row>
    <row r="355" spans="1:15" x14ac:dyDescent="0.35">
      <c r="A355" s="5" t="s">
        <v>5</v>
      </c>
      <c r="B355" s="5" t="str">
        <f t="shared" si="170"/>
        <v>SPS3</v>
      </c>
      <c r="C355" s="5" t="s">
        <v>7</v>
      </c>
      <c r="D355" t="s">
        <v>654</v>
      </c>
      <c r="E355" t="str">
        <f t="shared" si="163"/>
        <v>PJ/yr.</v>
      </c>
      <c r="F355" s="1">
        <f t="shared" ref="F355:K355" si="203">F323-F339</f>
        <v>0</v>
      </c>
      <c r="G355" s="1">
        <f t="shared" si="203"/>
        <v>0</v>
      </c>
      <c r="H355" s="1">
        <f t="shared" si="203"/>
        <v>0</v>
      </c>
      <c r="I355" s="1">
        <f t="shared" si="203"/>
        <v>1.0208545794684399E-4</v>
      </c>
      <c r="J355" s="1">
        <f t="shared" si="203"/>
        <v>1.164519005876784E-3</v>
      </c>
      <c r="K355" s="1">
        <f t="shared" si="203"/>
        <v>5.1980698326302541E-4</v>
      </c>
    </row>
    <row r="356" spans="1:15" x14ac:dyDescent="0.35">
      <c r="A356" s="5" t="s">
        <v>5</v>
      </c>
      <c r="B356" s="5" t="str">
        <f t="shared" si="170"/>
        <v>SPS3</v>
      </c>
      <c r="C356" s="5" t="s">
        <v>7</v>
      </c>
      <c r="D356" t="s">
        <v>854</v>
      </c>
      <c r="E356" t="str">
        <f t="shared" ref="E356:E406" si="204">E355</f>
        <v>PJ/yr.</v>
      </c>
      <c r="F356" s="1">
        <f>SUM(F357:F362)</f>
        <v>22.495526601284617</v>
      </c>
      <c r="G356" s="1">
        <f t="shared" ref="G356:K356" si="205">SUM(G357:G362)</f>
        <v>24.624390983545503</v>
      </c>
      <c r="H356" s="1">
        <f t="shared" si="205"/>
        <v>27.170193281186741</v>
      </c>
      <c r="I356" s="1">
        <f t="shared" si="205"/>
        <v>25.201789585935352</v>
      </c>
      <c r="J356" s="1">
        <f t="shared" si="205"/>
        <v>25.227534852506853</v>
      </c>
      <c r="K356" s="1">
        <f t="shared" si="205"/>
        <v>31.189571929218534</v>
      </c>
    </row>
    <row r="357" spans="1:15" x14ac:dyDescent="0.35">
      <c r="A357" s="5" t="s">
        <v>5</v>
      </c>
      <c r="B357" s="5" t="str">
        <f t="shared" si="170"/>
        <v>SPS3</v>
      </c>
      <c r="C357" s="5" t="s">
        <v>7</v>
      </c>
      <c r="D357" t="s">
        <v>113</v>
      </c>
      <c r="E357" t="str">
        <f t="shared" si="204"/>
        <v>PJ/yr.</v>
      </c>
      <c r="F357" s="1">
        <f>'[1]Electricity and CHPs_IN'!B$19</f>
        <v>18.203597382466217</v>
      </c>
      <c r="G357" s="1">
        <f>'[1]Electricity and CHPs_IN'!C$19</f>
        <v>20.429783187338103</v>
      </c>
      <c r="H357" s="1">
        <f>'[1]Electricity and CHPs_IN'!D$19</f>
        <v>22.936314126141184</v>
      </c>
      <c r="I357" s="1">
        <f>'[1]Electricity and CHPs_IN'!E$19</f>
        <v>20.69658746869635</v>
      </c>
      <c r="J357" s="1">
        <f>'[1]Electricity and CHPs_IN'!F$19</f>
        <v>21.665240695724457</v>
      </c>
      <c r="K357" s="1">
        <f>'[1]Electricity and CHPs_IN'!G$19</f>
        <v>13.148358432027582</v>
      </c>
      <c r="O357" s="1"/>
    </row>
    <row r="358" spans="1:15" x14ac:dyDescent="0.35">
      <c r="A358" s="5" t="s">
        <v>5</v>
      </c>
      <c r="B358" s="5" t="str">
        <f t="shared" si="170"/>
        <v>SPS3</v>
      </c>
      <c r="C358" s="5" t="s">
        <v>7</v>
      </c>
      <c r="D358" t="s">
        <v>114</v>
      </c>
      <c r="E358" t="str">
        <f t="shared" si="204"/>
        <v>PJ/yr.</v>
      </c>
      <c r="F358" s="1">
        <f>'[1]Electricity and CHPs_IN'!B$20</f>
        <v>0</v>
      </c>
      <c r="G358" s="1">
        <f>'[1]Electricity and CHPs_IN'!C$20</f>
        <v>0</v>
      </c>
      <c r="H358" s="1">
        <f>'[1]Electricity and CHPs_IN'!D$20</f>
        <v>0</v>
      </c>
      <c r="I358" s="1">
        <f>'[1]Electricity and CHPs_IN'!E$20</f>
        <v>0</v>
      </c>
      <c r="J358" s="1">
        <f>'[1]Electricity and CHPs_IN'!F$20</f>
        <v>9.4879052808116823E-4</v>
      </c>
      <c r="K358" s="1">
        <f>'[1]Electricity and CHPs_IN'!G$20</f>
        <v>13.147424587877781</v>
      </c>
      <c r="O358" s="1"/>
    </row>
    <row r="359" spans="1:15" x14ac:dyDescent="0.35">
      <c r="A359" s="5" t="s">
        <v>5</v>
      </c>
      <c r="B359" s="5" t="str">
        <f t="shared" si="170"/>
        <v>SPS3</v>
      </c>
      <c r="C359" s="5" t="s">
        <v>7</v>
      </c>
      <c r="D359" t="s">
        <v>115</v>
      </c>
      <c r="E359" t="str">
        <f t="shared" si="204"/>
        <v>PJ/yr.</v>
      </c>
      <c r="F359" s="1">
        <f>IFERROR(F131/SUM(F131,F196),0)*'[1]Electricity and CHPs_IN'!B$26</f>
        <v>3.8974806400185669</v>
      </c>
      <c r="G359" s="1">
        <f>IFERROR(G131/SUM(G131,G196),0)*'[1]Electricity and CHPs_IN'!C$26</f>
        <v>3.7854130240858539</v>
      </c>
      <c r="H359" s="1">
        <f>IFERROR(H131/SUM(H131,H196),0)*'[1]Electricity and CHPs_IN'!D$26</f>
        <v>3.6002131802172648</v>
      </c>
      <c r="I359" s="1">
        <f>IFERROR(I131/SUM(I131,I196),0)*'[1]Electricity and CHPs_IN'!E$26</f>
        <v>3.8108815169904653</v>
      </c>
      <c r="J359" s="1">
        <f>IFERROR(J131/SUM(J131,J196),0)*'[1]Electricity and CHPs_IN'!F$26</f>
        <v>2.6811024255688851</v>
      </c>
      <c r="K359" s="1">
        <f>IFERROR(K131/SUM(K131,K196),0)*'[1]Electricity and CHPs_IN'!G$26</f>
        <v>1.0989284001955253</v>
      </c>
    </row>
    <row r="360" spans="1:15" x14ac:dyDescent="0.35">
      <c r="A360" s="5" t="s">
        <v>5</v>
      </c>
      <c r="B360" s="5" t="str">
        <f t="shared" si="170"/>
        <v>SPS3</v>
      </c>
      <c r="C360" s="5" t="s">
        <v>7</v>
      </c>
      <c r="D360" t="s">
        <v>116</v>
      </c>
      <c r="E360" t="str">
        <f t="shared" si="204"/>
        <v>PJ/yr.</v>
      </c>
      <c r="F360" s="1">
        <f>IFERROR(F132/SUM(F132,F197),0)*'[1]Electricity and CHPs_IN'!B$27</f>
        <v>0</v>
      </c>
      <c r="G360" s="1">
        <f>IFERROR(G132/SUM(G132,G197),0)*'[1]Electricity and CHPs_IN'!C$27</f>
        <v>0</v>
      </c>
      <c r="H360" s="1">
        <f>IFERROR(H132/SUM(H132,H197),0)*'[1]Electricity and CHPs_IN'!D$27</f>
        <v>0</v>
      </c>
      <c r="I360" s="1">
        <f>IFERROR(I132/SUM(I132,I197),0)*'[1]Electricity and CHPs_IN'!E$27</f>
        <v>0</v>
      </c>
      <c r="J360" s="1">
        <f>IFERROR(J132/SUM(J132,J197),0)*'[1]Electricity and CHPs_IN'!F$27</f>
        <v>9.3305456425704823E-5</v>
      </c>
      <c r="K360" s="1">
        <f>IFERROR(K132/SUM(K132,K197),0)*'[1]Electricity and CHPs_IN'!G$27</f>
        <v>1.3501440657033774</v>
      </c>
    </row>
    <row r="361" spans="1:15" x14ac:dyDescent="0.35">
      <c r="A361" s="5" t="s">
        <v>5</v>
      </c>
      <c r="B361" s="5" t="str">
        <f t="shared" si="170"/>
        <v>SPS3</v>
      </c>
      <c r="C361" s="5" t="s">
        <v>7</v>
      </c>
      <c r="D361" t="s">
        <v>117</v>
      </c>
      <c r="E361" t="str">
        <f t="shared" si="204"/>
        <v>PJ/yr.</v>
      </c>
      <c r="F361" s="1">
        <f>IFERROR(F133/SUM(F133,F272),0)*'[1]Electricity and CHPs_IN'!B$44</f>
        <v>0.3944485787998302</v>
      </c>
      <c r="G361" s="1">
        <f>IFERROR(G133/SUM(G133,G272),0)*'[1]Electricity and CHPs_IN'!C$44</f>
        <v>0.40919477212154509</v>
      </c>
      <c r="H361" s="1">
        <f>IFERROR(H133/SUM(H133,H272),0)*'[1]Electricity and CHPs_IN'!D$44</f>
        <v>0.63366597482829368</v>
      </c>
      <c r="I361" s="1">
        <f>IFERROR(I133/SUM(I133,I272),0)*'[1]Electricity and CHPs_IN'!E$44</f>
        <v>0.69432060024853526</v>
      </c>
      <c r="J361" s="1">
        <f>IFERROR(J133/SUM(J133,J272),0)*'[1]Electricity and CHPs_IN'!F$44</f>
        <v>0.88006846387437787</v>
      </c>
      <c r="K361" s="1">
        <f>IFERROR(K133/SUM(K133,K272),0)*'[1]Electricity and CHPs_IN'!G$44</f>
        <v>2.6850601862243417E-4</v>
      </c>
    </row>
    <row r="362" spans="1:15" x14ac:dyDescent="0.35">
      <c r="A362" s="5" t="s">
        <v>5</v>
      </c>
      <c r="B362" s="5" t="str">
        <f t="shared" si="170"/>
        <v>SPS3</v>
      </c>
      <c r="C362" s="5" t="s">
        <v>7</v>
      </c>
      <c r="D362" t="s">
        <v>118</v>
      </c>
      <c r="E362" t="str">
        <f t="shared" si="204"/>
        <v>PJ/yr.</v>
      </c>
      <c r="F362" s="1">
        <f>IFERROR(F134/SUM(F134,F273),0)*'[1]Electricity and CHPs_IN'!B$45</f>
        <v>0</v>
      </c>
      <c r="G362" s="1">
        <f>IFERROR(G134/SUM(G134,G273),0)*'[1]Electricity and CHPs_IN'!C$45</f>
        <v>0</v>
      </c>
      <c r="H362" s="1">
        <f>IFERROR(H134/SUM(H134,H273),0)*'[1]Electricity and CHPs_IN'!D$45</f>
        <v>0</v>
      </c>
      <c r="I362" s="1">
        <f>IFERROR(I134/SUM(I134,I273),0)*'[1]Electricity and CHPs_IN'!E$45</f>
        <v>0</v>
      </c>
      <c r="J362" s="1">
        <f>IFERROR(J134/SUM(J134,J273),0)*'[1]Electricity and CHPs_IN'!F$45</f>
        <v>8.1171354631574133E-5</v>
      </c>
      <c r="K362" s="1">
        <f>IFERROR(K134/SUM(K134,K273),0)*'[1]Electricity and CHPs_IN'!G$45</f>
        <v>2.4444479373956445</v>
      </c>
      <c r="O362" s="4"/>
    </row>
    <row r="363" spans="1:15" x14ac:dyDescent="0.35">
      <c r="A363" s="5" t="s">
        <v>5</v>
      </c>
      <c r="B363" s="5" t="str">
        <f t="shared" si="170"/>
        <v>SPS3</v>
      </c>
      <c r="C363" s="5" t="s">
        <v>7</v>
      </c>
      <c r="D363" t="s">
        <v>855</v>
      </c>
      <c r="E363" t="str">
        <f t="shared" si="204"/>
        <v>PJ/yr.</v>
      </c>
      <c r="F363" s="1">
        <f>SUM(F364:F367)</f>
        <v>11.050539011242392</v>
      </c>
      <c r="G363" s="1">
        <f t="shared" ref="G363:K363" si="206">SUM(G364:G367)</f>
        <v>12.107598105711979</v>
      </c>
      <c r="H363" s="1">
        <f t="shared" si="206"/>
        <v>13.268263653179224</v>
      </c>
      <c r="I363" s="1">
        <f t="shared" si="206"/>
        <v>12.253734492843408</v>
      </c>
      <c r="J363" s="1">
        <f t="shared" si="206"/>
        <v>12.173692608638923</v>
      </c>
      <c r="K363" s="1">
        <f t="shared" si="206"/>
        <v>14.372427742902135</v>
      </c>
      <c r="O363" s="7"/>
    </row>
    <row r="364" spans="1:15" x14ac:dyDescent="0.35">
      <c r="A364" s="5" t="s">
        <v>5</v>
      </c>
      <c r="B364" s="5" t="str">
        <f t="shared" si="170"/>
        <v>SPS3</v>
      </c>
      <c r="C364" s="5" t="s">
        <v>7</v>
      </c>
      <c r="D364" t="s">
        <v>119</v>
      </c>
      <c r="E364" t="str">
        <f t="shared" si="204"/>
        <v>PJ/yr.</v>
      </c>
      <c r="F364" s="1">
        <f>F357*IFERROR(F136/F129,0)</f>
        <v>9.1017986912331086</v>
      </c>
      <c r="G364" s="1">
        <f t="shared" ref="G364:K364" si="207">G357*IFERROR(G136/G129,0)</f>
        <v>10.214891593669051</v>
      </c>
      <c r="H364" s="1">
        <f t="shared" si="207"/>
        <v>11.468157063070592</v>
      </c>
      <c r="I364" s="1">
        <f t="shared" si="207"/>
        <v>10.348293734348175</v>
      </c>
      <c r="J364" s="1">
        <f t="shared" si="207"/>
        <v>10.832620347862228</v>
      </c>
      <c r="K364" s="1">
        <f t="shared" si="207"/>
        <v>6.5741792160137908</v>
      </c>
      <c r="O364" s="1"/>
    </row>
    <row r="365" spans="1:15" x14ac:dyDescent="0.35">
      <c r="A365" s="5" t="s">
        <v>5</v>
      </c>
      <c r="B365" s="5" t="str">
        <f t="shared" si="170"/>
        <v>SPS3</v>
      </c>
      <c r="C365" s="5" t="s">
        <v>7</v>
      </c>
      <c r="D365" t="s">
        <v>120</v>
      </c>
      <c r="E365" t="str">
        <f t="shared" si="204"/>
        <v>PJ/yr.</v>
      </c>
      <c r="F365" s="1">
        <f t="shared" ref="F365:K365" si="208">F358*IFERROR(F137/F130,0)</f>
        <v>0</v>
      </c>
      <c r="G365" s="1">
        <f t="shared" si="208"/>
        <v>0</v>
      </c>
      <c r="H365" s="1">
        <f t="shared" si="208"/>
        <v>0</v>
      </c>
      <c r="I365" s="1">
        <f t="shared" si="208"/>
        <v>0</v>
      </c>
      <c r="J365" s="1">
        <f t="shared" si="208"/>
        <v>4.7439526404058401E-4</v>
      </c>
      <c r="K365" s="1">
        <f t="shared" si="208"/>
        <v>6.5737122939388906</v>
      </c>
    </row>
    <row r="366" spans="1:15" x14ac:dyDescent="0.35">
      <c r="A366" s="5" t="s">
        <v>5</v>
      </c>
      <c r="B366" s="5" t="str">
        <f t="shared" si="170"/>
        <v>SPS3</v>
      </c>
      <c r="C366" s="5" t="s">
        <v>7</v>
      </c>
      <c r="D366" t="s">
        <v>121</v>
      </c>
      <c r="E366" t="str">
        <f t="shared" si="204"/>
        <v>PJ/yr.</v>
      </c>
      <c r="F366" s="1">
        <f t="shared" ref="F366:K366" si="209">F359*IFERROR(F138/F131,0)</f>
        <v>1.9487403200092834</v>
      </c>
      <c r="G366" s="1">
        <f t="shared" si="209"/>
        <v>1.8927065120429269</v>
      </c>
      <c r="H366" s="1">
        <f t="shared" si="209"/>
        <v>1.8001065901086324</v>
      </c>
      <c r="I366" s="1">
        <f t="shared" si="209"/>
        <v>1.9054407584952331</v>
      </c>
      <c r="J366" s="1">
        <f t="shared" si="209"/>
        <v>1.3405512127844426</v>
      </c>
      <c r="K366" s="1">
        <f t="shared" si="209"/>
        <v>0.54946420009776265</v>
      </c>
    </row>
    <row r="367" spans="1:15" x14ac:dyDescent="0.35">
      <c r="A367" s="5" t="s">
        <v>5</v>
      </c>
      <c r="B367" s="5" t="str">
        <f t="shared" si="170"/>
        <v>SPS3</v>
      </c>
      <c r="C367" s="5" t="s">
        <v>7</v>
      </c>
      <c r="D367" t="s">
        <v>122</v>
      </c>
      <c r="E367" t="str">
        <f t="shared" si="204"/>
        <v>PJ/yr.</v>
      </c>
      <c r="F367" s="1">
        <f t="shared" ref="F367:K367" si="210">F360*IFERROR(F139/F132,0)</f>
        <v>0</v>
      </c>
      <c r="G367" s="1">
        <f t="shared" si="210"/>
        <v>0</v>
      </c>
      <c r="H367" s="1">
        <f t="shared" si="210"/>
        <v>0</v>
      </c>
      <c r="I367" s="1">
        <f t="shared" si="210"/>
        <v>0</v>
      </c>
      <c r="J367" s="1">
        <f t="shared" si="210"/>
        <v>4.6652728212852412E-5</v>
      </c>
      <c r="K367" s="1">
        <f t="shared" si="210"/>
        <v>0.67507203285168871</v>
      </c>
    </row>
    <row r="368" spans="1:15" x14ac:dyDescent="0.35">
      <c r="A368" s="5" t="s">
        <v>5</v>
      </c>
      <c r="B368" s="5" t="str">
        <f t="shared" si="170"/>
        <v>SPS3</v>
      </c>
      <c r="C368" s="5" t="s">
        <v>7</v>
      </c>
      <c r="D368" t="s">
        <v>123</v>
      </c>
      <c r="E368" t="str">
        <f t="shared" si="204"/>
        <v>PJ/yr.</v>
      </c>
      <c r="F368" s="1">
        <f t="shared" ref="F368:K368" si="211">F361*IFERROR(F140/F133,0)</f>
        <v>0</v>
      </c>
      <c r="G368" s="1">
        <f t="shared" si="211"/>
        <v>0</v>
      </c>
      <c r="H368" s="1">
        <f t="shared" si="211"/>
        <v>0</v>
      </c>
      <c r="I368" s="1">
        <f t="shared" si="211"/>
        <v>0</v>
      </c>
      <c r="J368" s="1">
        <f t="shared" si="211"/>
        <v>0</v>
      </c>
      <c r="K368" s="1">
        <f t="shared" si="211"/>
        <v>0</v>
      </c>
    </row>
    <row r="369" spans="1:15" x14ac:dyDescent="0.35">
      <c r="A369" s="5" t="s">
        <v>5</v>
      </c>
      <c r="B369" s="5" t="str">
        <f t="shared" si="170"/>
        <v>SPS3</v>
      </c>
      <c r="C369" s="5" t="s">
        <v>7</v>
      </c>
      <c r="D369" t="s">
        <v>124</v>
      </c>
      <c r="E369" t="str">
        <f t="shared" si="204"/>
        <v>PJ/yr.</v>
      </c>
      <c r="F369" s="1">
        <f t="shared" ref="F369:K369" si="212">F362*IFERROR(F141/F134,0)</f>
        <v>0</v>
      </c>
      <c r="G369" s="1">
        <f t="shared" si="212"/>
        <v>0</v>
      </c>
      <c r="H369" s="1">
        <f t="shared" si="212"/>
        <v>0</v>
      </c>
      <c r="I369" s="1">
        <f t="shared" si="212"/>
        <v>0</v>
      </c>
      <c r="J369" s="1">
        <f t="shared" si="212"/>
        <v>0</v>
      </c>
      <c r="K369" s="1">
        <f t="shared" si="212"/>
        <v>0</v>
      </c>
    </row>
    <row r="370" spans="1:15" x14ac:dyDescent="0.35">
      <c r="A370" s="5" t="s">
        <v>5</v>
      </c>
      <c r="B370" s="5" t="str">
        <f t="shared" si="170"/>
        <v>SPS3</v>
      </c>
      <c r="C370" s="5" t="s">
        <v>7</v>
      </c>
      <c r="D370" t="s">
        <v>856</v>
      </c>
      <c r="E370" t="str">
        <f t="shared" si="204"/>
        <v>PJ/yr.</v>
      </c>
      <c r="F370" s="1">
        <f>SUM(F371:F376)</f>
        <v>11.444987590042222</v>
      </c>
      <c r="G370" s="1">
        <f t="shared" ref="G370:K370" si="213">SUM(G371:G376)</f>
        <v>12.516792877833524</v>
      </c>
      <c r="H370" s="1">
        <f t="shared" si="213"/>
        <v>13.901929628007517</v>
      </c>
      <c r="I370" s="1">
        <f t="shared" si="213"/>
        <v>12.948055093091941</v>
      </c>
      <c r="J370" s="1">
        <f t="shared" si="213"/>
        <v>13.053842243867933</v>
      </c>
      <c r="K370" s="1">
        <f t="shared" si="213"/>
        <v>16.817144186316401</v>
      </c>
      <c r="M370" s="1"/>
      <c r="N370" s="1"/>
      <c r="O370" s="1"/>
    </row>
    <row r="371" spans="1:15" x14ac:dyDescent="0.35">
      <c r="A371" s="5" t="s">
        <v>5</v>
      </c>
      <c r="B371" s="5" t="str">
        <f t="shared" si="170"/>
        <v>SPS3</v>
      </c>
      <c r="C371" s="5" t="s">
        <v>7</v>
      </c>
      <c r="D371" t="s">
        <v>125</v>
      </c>
      <c r="E371" t="str">
        <f t="shared" si="204"/>
        <v>PJ/yr.</v>
      </c>
      <c r="F371" s="1">
        <f t="shared" ref="F371:K371" si="214">F364*IFERROR(F143/F136,0)</f>
        <v>9.1017986912331086</v>
      </c>
      <c r="G371" s="1">
        <f t="shared" si="214"/>
        <v>10.214891593669051</v>
      </c>
      <c r="H371" s="1">
        <f t="shared" si="214"/>
        <v>11.468157063070592</v>
      </c>
      <c r="I371" s="1">
        <f t="shared" si="214"/>
        <v>10.348293734348175</v>
      </c>
      <c r="J371" s="1">
        <f t="shared" si="214"/>
        <v>10.832620347862228</v>
      </c>
      <c r="K371" s="1">
        <f t="shared" si="214"/>
        <v>6.5741792160137908</v>
      </c>
      <c r="M371" s="1"/>
      <c r="N371" s="1"/>
      <c r="O371" s="1"/>
    </row>
    <row r="372" spans="1:15" x14ac:dyDescent="0.35">
      <c r="A372" s="5" t="s">
        <v>5</v>
      </c>
      <c r="B372" s="5" t="str">
        <f t="shared" ref="B372:B435" si="215">B371</f>
        <v>SPS3</v>
      </c>
      <c r="C372" s="5" t="s">
        <v>7</v>
      </c>
      <c r="D372" t="s">
        <v>126</v>
      </c>
      <c r="E372" t="str">
        <f t="shared" si="204"/>
        <v>PJ/yr.</v>
      </c>
      <c r="F372" s="1">
        <f t="shared" ref="F372:K372" si="216">F365*IFERROR(F144/F137,0)</f>
        <v>0</v>
      </c>
      <c r="G372" s="1">
        <f t="shared" si="216"/>
        <v>0</v>
      </c>
      <c r="H372" s="1">
        <f t="shared" si="216"/>
        <v>0</v>
      </c>
      <c r="I372" s="1">
        <f t="shared" si="216"/>
        <v>0</v>
      </c>
      <c r="J372" s="1">
        <f t="shared" si="216"/>
        <v>4.7439526404058422E-4</v>
      </c>
      <c r="K372" s="1">
        <f t="shared" si="216"/>
        <v>6.5737122939388906</v>
      </c>
    </row>
    <row r="373" spans="1:15" x14ac:dyDescent="0.35">
      <c r="A373" s="5" t="s">
        <v>5</v>
      </c>
      <c r="B373" s="5" t="str">
        <f t="shared" si="215"/>
        <v>SPS3</v>
      </c>
      <c r="C373" s="5" t="s">
        <v>7</v>
      </c>
      <c r="D373" t="s">
        <v>127</v>
      </c>
      <c r="E373" t="str">
        <f t="shared" si="204"/>
        <v>PJ/yr.</v>
      </c>
      <c r="F373" s="1">
        <f t="shared" ref="F373:K373" si="217">F366*IFERROR(F145/F138,0)</f>
        <v>1.9487403200092834</v>
      </c>
      <c r="G373" s="1">
        <f t="shared" si="217"/>
        <v>1.8927065120429269</v>
      </c>
      <c r="H373" s="1">
        <f t="shared" si="217"/>
        <v>1.8001065901086324</v>
      </c>
      <c r="I373" s="1">
        <f t="shared" si="217"/>
        <v>1.9054407584952324</v>
      </c>
      <c r="J373" s="1">
        <f t="shared" si="217"/>
        <v>1.3405512127844426</v>
      </c>
      <c r="K373" s="1">
        <f t="shared" si="217"/>
        <v>0.54946420009776265</v>
      </c>
    </row>
    <row r="374" spans="1:15" x14ac:dyDescent="0.35">
      <c r="A374" s="5" t="s">
        <v>5</v>
      </c>
      <c r="B374" s="5" t="str">
        <f t="shared" si="215"/>
        <v>SPS3</v>
      </c>
      <c r="C374" s="5" t="s">
        <v>7</v>
      </c>
      <c r="D374" t="s">
        <v>128</v>
      </c>
      <c r="E374" t="str">
        <f t="shared" si="204"/>
        <v>PJ/yr.</v>
      </c>
      <c r="F374" s="1">
        <f t="shared" ref="F374:K374" si="218">F367*IFERROR(F146/F139,0)</f>
        <v>0</v>
      </c>
      <c r="G374" s="1">
        <f t="shared" si="218"/>
        <v>0</v>
      </c>
      <c r="H374" s="1">
        <f t="shared" si="218"/>
        <v>0</v>
      </c>
      <c r="I374" s="1">
        <f t="shared" si="218"/>
        <v>0</v>
      </c>
      <c r="J374" s="1">
        <f t="shared" si="218"/>
        <v>4.6652728212852412E-5</v>
      </c>
      <c r="K374" s="1">
        <f t="shared" si="218"/>
        <v>0.67507203285168871</v>
      </c>
    </row>
    <row r="375" spans="1:15" x14ac:dyDescent="0.35">
      <c r="A375" s="5" t="s">
        <v>5</v>
      </c>
      <c r="B375" s="5" t="str">
        <f t="shared" si="215"/>
        <v>SPS3</v>
      </c>
      <c r="C375" s="5" t="s">
        <v>7</v>
      </c>
      <c r="D375" t="s">
        <v>129</v>
      </c>
      <c r="E375" t="str">
        <f t="shared" si="204"/>
        <v>PJ/yr.</v>
      </c>
      <c r="F375" s="1">
        <f>F361</f>
        <v>0.3944485787998302</v>
      </c>
      <c r="G375" s="1">
        <f t="shared" ref="G375:K375" si="219">G361</f>
        <v>0.40919477212154509</v>
      </c>
      <c r="H375" s="1">
        <f t="shared" si="219"/>
        <v>0.63366597482829368</v>
      </c>
      <c r="I375" s="1">
        <f t="shared" si="219"/>
        <v>0.69432060024853526</v>
      </c>
      <c r="J375" s="1">
        <f t="shared" si="219"/>
        <v>0.88006846387437787</v>
      </c>
      <c r="K375" s="1">
        <f t="shared" si="219"/>
        <v>2.6850601862243417E-4</v>
      </c>
    </row>
    <row r="376" spans="1:15" x14ac:dyDescent="0.35">
      <c r="A376" s="5" t="s">
        <v>5</v>
      </c>
      <c r="B376" s="5" t="str">
        <f t="shared" si="215"/>
        <v>SPS3</v>
      </c>
      <c r="C376" s="5" t="s">
        <v>7</v>
      </c>
      <c r="D376" t="s">
        <v>130</v>
      </c>
      <c r="E376" t="str">
        <f t="shared" si="204"/>
        <v>PJ/yr.</v>
      </c>
      <c r="F376" s="1">
        <f t="shared" ref="F376:K376" si="220">F362</f>
        <v>0</v>
      </c>
      <c r="G376" s="1">
        <f t="shared" si="220"/>
        <v>0</v>
      </c>
      <c r="H376" s="1">
        <f t="shared" si="220"/>
        <v>0</v>
      </c>
      <c r="I376" s="1">
        <f t="shared" si="220"/>
        <v>0</v>
      </c>
      <c r="J376" s="1">
        <f t="shared" si="220"/>
        <v>8.1171354631574133E-5</v>
      </c>
      <c r="K376" s="1">
        <f t="shared" si="220"/>
        <v>2.4444479373956445</v>
      </c>
    </row>
    <row r="377" spans="1:15" x14ac:dyDescent="0.35">
      <c r="A377" s="5" t="s">
        <v>5</v>
      </c>
      <c r="B377" s="5" t="str">
        <f t="shared" si="215"/>
        <v>SPS3</v>
      </c>
      <c r="C377" s="5" t="s">
        <v>7</v>
      </c>
      <c r="D377" t="s">
        <v>857</v>
      </c>
      <c r="E377" t="str">
        <f t="shared" si="204"/>
        <v>PJ/yr.</v>
      </c>
      <c r="F377" s="1">
        <f>SUM(F378:F384)</f>
        <v>0.18094920296111214</v>
      </c>
      <c r="G377" s="1">
        <f t="shared" ref="G377:K377" si="221">SUM(G378:G384)</f>
        <v>0.16347492367360661</v>
      </c>
      <c r="H377" s="1">
        <f t="shared" si="221"/>
        <v>1.1368417883702016</v>
      </c>
      <c r="I377" s="1">
        <f t="shared" si="221"/>
        <v>2.9526985652865152</v>
      </c>
      <c r="J377" s="1">
        <f t="shared" si="221"/>
        <v>4.1183737501504476</v>
      </c>
      <c r="K377" s="1">
        <f t="shared" si="221"/>
        <v>7.8214837632948981</v>
      </c>
    </row>
    <row r="378" spans="1:15" x14ac:dyDescent="0.35">
      <c r="A378" s="5" t="s">
        <v>5</v>
      </c>
      <c r="B378" s="5" t="str">
        <f t="shared" si="215"/>
        <v>SPS3</v>
      </c>
      <c r="C378" s="5" t="s">
        <v>7</v>
      </c>
      <c r="D378" t="s">
        <v>131</v>
      </c>
      <c r="E378" t="str">
        <f t="shared" si="204"/>
        <v>PJ/yr.</v>
      </c>
      <c r="F378" s="1">
        <f>IFERROR(F150/SUM(F150,F205),0)*'[1]Electricity and CHPs_IN'!B$25</f>
        <v>5.1609003242808921E-5</v>
      </c>
      <c r="G378" s="1">
        <f>IFERROR(G150/SUM(G150,G205),0)*'[1]Electricity and CHPs_IN'!C$25</f>
        <v>1.5351075232739369E-3</v>
      </c>
      <c r="H378" s="1">
        <f>IFERROR(H150/SUM(H150,H205),0)*'[1]Electricity and CHPs_IN'!D$25</f>
        <v>2.4730674851920445E-5</v>
      </c>
      <c r="I378" s="1">
        <f>IFERROR(I150/SUM(I150,I205),0)*'[1]Electricity and CHPs_IN'!E$25</f>
        <v>0.68744407229847915</v>
      </c>
      <c r="J378" s="1">
        <f>IFERROR(J150/SUM(J150,J205),0)*'[1]Electricity and CHPs_IN'!F$25</f>
        <v>0.90676129888740975</v>
      </c>
      <c r="K378" s="1">
        <f>IFERROR(K150/SUM(K150,K205),0)*'[1]Electricity and CHPs_IN'!G$25</f>
        <v>1.1278628024356552</v>
      </c>
    </row>
    <row r="379" spans="1:15" x14ac:dyDescent="0.35">
      <c r="A379" s="5" t="s">
        <v>5</v>
      </c>
      <c r="B379" s="5" t="str">
        <f t="shared" si="215"/>
        <v>SPS3</v>
      </c>
      <c r="C379" s="5" t="s">
        <v>7</v>
      </c>
      <c r="D379" t="s">
        <v>132</v>
      </c>
      <c r="E379" t="str">
        <f t="shared" si="204"/>
        <v>PJ/yr.</v>
      </c>
      <c r="F379" s="1">
        <f>'[1]Electricity and CHPs_IN'!B$31</f>
        <v>0</v>
      </c>
      <c r="G379" s="1">
        <f>'[1]Electricity and CHPs_IN'!C$31</f>
        <v>0</v>
      </c>
      <c r="H379" s="1">
        <f>'[1]Electricity and CHPs_IN'!D$31</f>
        <v>0</v>
      </c>
      <c r="I379" s="1">
        <f>'[1]Electricity and CHPs_IN'!E$31</f>
        <v>0</v>
      </c>
      <c r="J379" s="1">
        <f>'[1]Electricity and CHPs_IN'!F$31</f>
        <v>9.4120916183936605E-4</v>
      </c>
      <c r="K379" s="1">
        <f>'[1]Electricity and CHPs_IN'!G$31</f>
        <v>3.170697049221689</v>
      </c>
    </row>
    <row r="380" spans="1:15" x14ac:dyDescent="0.35">
      <c r="A380" s="5" t="s">
        <v>5</v>
      </c>
      <c r="B380" s="5" t="str">
        <f t="shared" si="215"/>
        <v>SPS3</v>
      </c>
      <c r="C380" s="5" t="s">
        <v>7</v>
      </c>
      <c r="D380" t="s">
        <v>133</v>
      </c>
      <c r="E380" t="str">
        <f t="shared" si="204"/>
        <v>PJ/yr.</v>
      </c>
      <c r="F380" s="1">
        <f>IFERROR(F152/SUM(F152,F281),0)*'[1]Electricity and CHPs_IN'!B$42</f>
        <v>0.18089759395786933</v>
      </c>
      <c r="G380" s="1">
        <f>IFERROR(G152/SUM(G152,G281),0)*'[1]Electricity and CHPs_IN'!C$42</f>
        <v>0.16193981615033268</v>
      </c>
      <c r="H380" s="1">
        <f>IFERROR(H152/SUM(H152,H281),0)*'[1]Electricity and CHPs_IN'!D$42</f>
        <v>1.1368170576953496</v>
      </c>
      <c r="I380" s="1">
        <f>IFERROR(I152/SUM(I152,I281),0)*'[1]Electricity and CHPs_IN'!E$42</f>
        <v>2.2607184147793316</v>
      </c>
      <c r="J380" s="1">
        <f>IFERROR(J152/SUM(J152,J281),0)*'[1]Electricity and CHPs_IN'!F$42</f>
        <v>2.3037033267884439</v>
      </c>
      <c r="K380" s="1">
        <f>IFERROR(K152/SUM(K152,K281),0)*'[1]Electricity and CHPs_IN'!G$42</f>
        <v>1.4145498124658067</v>
      </c>
    </row>
    <row r="381" spans="1:15" x14ac:dyDescent="0.35">
      <c r="A381" s="5" t="s">
        <v>5</v>
      </c>
      <c r="B381" s="5" t="str">
        <f t="shared" si="215"/>
        <v>SPS3</v>
      </c>
      <c r="C381" s="5" t="s">
        <v>7</v>
      </c>
      <c r="D381" t="s">
        <v>134</v>
      </c>
      <c r="E381" t="str">
        <f t="shared" si="204"/>
        <v>PJ/yr.</v>
      </c>
      <c r="F381" s="1">
        <f>IFERROR(F153/SUM(F153,F282),0)*'[1]Electricity and CHPs_IN'!B$43</f>
        <v>0</v>
      </c>
      <c r="G381" s="1">
        <f>IFERROR(G153/SUM(G153,G282),0)*'[1]Electricity and CHPs_IN'!C$43</f>
        <v>0</v>
      </c>
      <c r="H381" s="1">
        <f>IFERROR(H153/SUM(H153,H282),0)*'[1]Electricity and CHPs_IN'!D$43</f>
        <v>0</v>
      </c>
      <c r="I381" s="1">
        <f>IFERROR(I153/SUM(I153,I282),0)*'[1]Electricity and CHPs_IN'!E$43</f>
        <v>0</v>
      </c>
      <c r="J381" s="1">
        <f>IFERROR(J153/SUM(J153,J282),0)*'[1]Electricity and CHPs_IN'!F$43</f>
        <v>0.90526321677201327</v>
      </c>
      <c r="K381" s="1">
        <f>IFERROR(K153/SUM(K153,K282),0)*'[1]Electricity and CHPs_IN'!G$43</f>
        <v>2.104777194337077</v>
      </c>
    </row>
    <row r="382" spans="1:15" x14ac:dyDescent="0.35">
      <c r="A382" s="5" t="s">
        <v>5</v>
      </c>
      <c r="B382" s="5" t="str">
        <f t="shared" si="215"/>
        <v>SPS3</v>
      </c>
      <c r="C382" s="5" t="s">
        <v>7</v>
      </c>
      <c r="D382" t="s">
        <v>135</v>
      </c>
      <c r="E382" t="str">
        <f t="shared" si="204"/>
        <v>PJ/yr.</v>
      </c>
      <c r="F382" s="1">
        <f>IFERROR(F154/SUM(F283,F154),0)*'[1]Electricity and CHPs_IN'!B$50</f>
        <v>0</v>
      </c>
      <c r="G382" s="1">
        <f>IFERROR(G154/SUM(G283,G154),0)*'[1]Electricity and CHPs_IN'!C$50</f>
        <v>0</v>
      </c>
      <c r="H382" s="1">
        <f>IFERROR(H154/SUM(H283,H154),0)*'[1]Electricity and CHPs_IN'!D$50</f>
        <v>0</v>
      </c>
      <c r="I382" s="1">
        <f>IFERROR(I154/SUM(I283,I154),0)*'[1]Electricity and CHPs_IN'!E$50</f>
        <v>1.1822711873545734E-3</v>
      </c>
      <c r="J382" s="1">
        <f>IFERROR(J154/SUM(J283,J154),0)*'[1]Electricity and CHPs_IN'!F$50</f>
        <v>5.5193948215956996E-4</v>
      </c>
      <c r="K382" s="1">
        <f>IFERROR(K154/SUM(K283,K154),0)*'[1]Electricity and CHPs_IN'!G$50</f>
        <v>4.6929369139552543E-4</v>
      </c>
    </row>
    <row r="383" spans="1:15" x14ac:dyDescent="0.35">
      <c r="A383" s="5" t="s">
        <v>5</v>
      </c>
      <c r="B383" s="5" t="str">
        <f t="shared" si="215"/>
        <v>SPS3</v>
      </c>
      <c r="C383" s="5" t="s">
        <v>7</v>
      </c>
      <c r="D383" t="s">
        <v>136</v>
      </c>
      <c r="E383" t="str">
        <f t="shared" si="204"/>
        <v>PJ/yr.</v>
      </c>
      <c r="F383" s="1">
        <f>IFERROR(F155/SUM(F284,F155),0)*'[1]Electricity and CHPs_IN'!B$53</f>
        <v>0</v>
      </c>
      <c r="G383" s="1">
        <f>IFERROR(G155/SUM(G284,G155),0)*'[1]Electricity and CHPs_IN'!C$53</f>
        <v>0</v>
      </c>
      <c r="H383" s="1">
        <f>IFERROR(H155/SUM(H284,H155),0)*'[1]Electricity and CHPs_IN'!D$53</f>
        <v>0</v>
      </c>
      <c r="I383" s="1">
        <f>IFERROR(I155/SUM(I284,I155),0)*'[1]Electricity and CHPs_IN'!E$53</f>
        <v>1.6445380145754288E-3</v>
      </c>
      <c r="J383" s="1">
        <f>IFERROR(J155/SUM(J284,J155),0)*'[1]Electricity and CHPs_IN'!F$53</f>
        <v>7.8347845830854291E-4</v>
      </c>
      <c r="K383" s="1">
        <f>IFERROR(K155/SUM(K284,K155),0)*'[1]Electricity and CHPs_IN'!G$53</f>
        <v>1.0661067631761213E-3</v>
      </c>
    </row>
    <row r="384" spans="1:15" x14ac:dyDescent="0.35">
      <c r="A384" s="5" t="s">
        <v>5</v>
      </c>
      <c r="B384" s="5" t="str">
        <f t="shared" si="215"/>
        <v>SPS3</v>
      </c>
      <c r="C384" s="5" t="s">
        <v>7</v>
      </c>
      <c r="D384" t="s">
        <v>294</v>
      </c>
      <c r="E384" t="str">
        <f t="shared" si="204"/>
        <v>PJ/yr.</v>
      </c>
      <c r="F384" s="1">
        <f>IFERROR(F156/SUM(F285,F156),0)*'[1]Electricity and CHPs_IN'!B$56</f>
        <v>0</v>
      </c>
      <c r="G384" s="1">
        <f>IFERROR(G156/SUM(G285,G156),0)*'[1]Electricity and CHPs_IN'!C$56</f>
        <v>0</v>
      </c>
      <c r="H384" s="1">
        <f>IFERROR(H156/SUM(H285,H156),0)*'[1]Electricity and CHPs_IN'!D$56</f>
        <v>0</v>
      </c>
      <c r="I384" s="1">
        <f>IFERROR(I156/SUM(I285,I156),0)*'[1]Electricity and CHPs_IN'!E$56</f>
        <v>1.709269006774518E-3</v>
      </c>
      <c r="J384" s="1">
        <f>IFERROR(J156/SUM(J285,J156),0)*'[1]Electricity and CHPs_IN'!F$56</f>
        <v>3.6928060027308633E-4</v>
      </c>
      <c r="K384" s="1">
        <f>IFERROR(K156/SUM(K285,K156),0)*'[1]Electricity and CHPs_IN'!G$56</f>
        <v>2.061504380097836E-3</v>
      </c>
    </row>
    <row r="385" spans="1:11" x14ac:dyDescent="0.35">
      <c r="A385" s="5" t="s">
        <v>5</v>
      </c>
      <c r="B385" s="5" t="str">
        <f t="shared" si="215"/>
        <v>SPS3</v>
      </c>
      <c r="C385" s="5" t="s">
        <v>7</v>
      </c>
      <c r="D385" t="s">
        <v>858</v>
      </c>
      <c r="E385" t="str">
        <f t="shared" si="204"/>
        <v>PJ/yr.</v>
      </c>
      <c r="F385" s="1">
        <f>F386</f>
        <v>0.52400000000000047</v>
      </c>
      <c r="G385" s="1">
        <f t="shared" ref="G385:K385" si="222">G386</f>
        <v>0.54529209756443131</v>
      </c>
      <c r="H385" s="1">
        <f t="shared" si="222"/>
        <v>0.50316469589798096</v>
      </c>
      <c r="I385" s="1">
        <f t="shared" si="222"/>
        <v>2.0502663602651547</v>
      </c>
      <c r="J385" s="1">
        <f t="shared" si="222"/>
        <v>3.5228363211480631</v>
      </c>
      <c r="K385" s="1">
        <f t="shared" si="222"/>
        <v>6.1200051522369954</v>
      </c>
    </row>
    <row r="386" spans="1:11" x14ac:dyDescent="0.35">
      <c r="A386" s="5" t="s">
        <v>5</v>
      </c>
      <c r="B386" s="5" t="str">
        <f t="shared" si="215"/>
        <v>SPS3</v>
      </c>
      <c r="C386" s="5" t="s">
        <v>7</v>
      </c>
      <c r="D386" t="s">
        <v>137</v>
      </c>
      <c r="E386" t="str">
        <f t="shared" si="204"/>
        <v>PJ/yr.</v>
      </c>
      <c r="F386" s="1">
        <f>'[1]Electricity and CHPs_IN'!B$33</f>
        <v>0.52400000000000047</v>
      </c>
      <c r="G386" s="1">
        <f>'[1]Electricity and CHPs_IN'!C$33</f>
        <v>0.54529209756443131</v>
      </c>
      <c r="H386" s="1">
        <f>'[1]Electricity and CHPs_IN'!D$33</f>
        <v>0.50316469589798096</v>
      </c>
      <c r="I386" s="1">
        <f>'[1]Electricity and CHPs_IN'!E$33</f>
        <v>2.0502663602651547</v>
      </c>
      <c r="J386" s="1">
        <f>'[1]Electricity and CHPs_IN'!F$33</f>
        <v>3.5228363211480631</v>
      </c>
      <c r="K386" s="1">
        <f>'[1]Electricity and CHPs_IN'!G$33</f>
        <v>6.1200051522369954</v>
      </c>
    </row>
    <row r="387" spans="1:11" x14ac:dyDescent="0.35">
      <c r="A387" s="5" t="s">
        <v>5</v>
      </c>
      <c r="B387" s="5" t="str">
        <f t="shared" si="215"/>
        <v>SPS3</v>
      </c>
      <c r="C387" s="5" t="s">
        <v>7</v>
      </c>
      <c r="D387" t="s">
        <v>859</v>
      </c>
      <c r="E387" t="str">
        <f t="shared" si="204"/>
        <v>PJ/yr.</v>
      </c>
      <c r="F387" s="1">
        <f>SUM(F388:F392)</f>
        <v>9.3550000000000111</v>
      </c>
      <c r="G387" s="1">
        <f t="shared" ref="G387:K387" si="223">SUM(G388:G392)</f>
        <v>12.822621343882776</v>
      </c>
      <c r="H387" s="1">
        <f t="shared" si="223"/>
        <v>28.800013184271869</v>
      </c>
      <c r="I387" s="1">
        <f t="shared" si="223"/>
        <v>31.170933453771596</v>
      </c>
      <c r="J387" s="1">
        <f t="shared" si="223"/>
        <v>60.660011583967446</v>
      </c>
      <c r="K387" s="1">
        <f t="shared" si="223"/>
        <v>90.0000088373463</v>
      </c>
    </row>
    <row r="388" spans="1:11" x14ac:dyDescent="0.35">
      <c r="A388" s="5" t="s">
        <v>5</v>
      </c>
      <c r="B388" s="5" t="str">
        <f t="shared" si="215"/>
        <v>SPS3</v>
      </c>
      <c r="C388" s="5" t="s">
        <v>7</v>
      </c>
      <c r="D388" t="s">
        <v>138</v>
      </c>
      <c r="E388" t="str">
        <f t="shared" si="204"/>
        <v>PJ/yr.</v>
      </c>
      <c r="F388" s="1">
        <f>'[1]Electricity and CHPs_IN'!B34</f>
        <v>0</v>
      </c>
      <c r="G388" s="1">
        <f>'[1]Electricity and CHPs_IN'!C34</f>
        <v>0</v>
      </c>
      <c r="H388" s="1">
        <f>'[1]Electricity and CHPs_IN'!D34</f>
        <v>0.14080689302850102</v>
      </c>
      <c r="I388" s="1">
        <f>'[1]Electricity and CHPs_IN'!E34</f>
        <v>0.15585329636757111</v>
      </c>
      <c r="J388" s="1">
        <f>'[1]Electricity and CHPs_IN'!F34</f>
        <v>0.15597322808705263</v>
      </c>
      <c r="K388" s="1">
        <f>'[1]Electricity and CHPs_IN'!G34</f>
        <v>4.6466849075390056E-3</v>
      </c>
    </row>
    <row r="389" spans="1:11" x14ac:dyDescent="0.35">
      <c r="A389" s="5" t="s">
        <v>5</v>
      </c>
      <c r="B389" s="5" t="str">
        <f t="shared" si="215"/>
        <v>SPS3</v>
      </c>
      <c r="C389" s="5" t="s">
        <v>7</v>
      </c>
      <c r="D389" t="s">
        <v>139</v>
      </c>
      <c r="E389" t="str">
        <f t="shared" si="204"/>
        <v>PJ/yr.</v>
      </c>
      <c r="F389" s="1">
        <f>'[1]Electricity and CHPs_IN'!B35</f>
        <v>3.517953999707534</v>
      </c>
      <c r="G389" s="1">
        <f>'[1]Electricity and CHPs_IN'!C35</f>
        <v>4.8498359217769194</v>
      </c>
      <c r="H389" s="1">
        <f>'[1]Electricity and CHPs_IN'!D35</f>
        <v>11.161630214496073</v>
      </c>
      <c r="I389" s="1">
        <f>'[1]Electricity and CHPs_IN'!E35</f>
        <v>12.110625333412253</v>
      </c>
      <c r="J389" s="1">
        <f>'[1]Electricity and CHPs_IN'!F35</f>
        <v>40.834311249537762</v>
      </c>
      <c r="K389" s="1">
        <f>'[1]Electricity and CHPs_IN'!G35</f>
        <v>64.334036103003498</v>
      </c>
    </row>
    <row r="390" spans="1:11" x14ac:dyDescent="0.35">
      <c r="A390" s="5" t="s">
        <v>5</v>
      </c>
      <c r="B390" s="5" t="str">
        <f t="shared" si="215"/>
        <v>SPS3</v>
      </c>
      <c r="C390" s="5" t="s">
        <v>7</v>
      </c>
      <c r="D390" t="s">
        <v>140</v>
      </c>
      <c r="E390" t="str">
        <f t="shared" si="204"/>
        <v>PJ/yr.</v>
      </c>
      <c r="F390" s="1">
        <f>'[1]Electricity and CHPs_IN'!B36</f>
        <v>2.1349390887346629</v>
      </c>
      <c r="G390" s="1">
        <f>'[1]Electricity and CHPs_IN'!C36</f>
        <v>3.3907042789842552</v>
      </c>
      <c r="H390" s="1">
        <f>'[1]Electricity and CHPs_IN'!D36</f>
        <v>4.0456848107446861</v>
      </c>
      <c r="I390" s="1">
        <f>'[1]Electricity and CHPs_IN'!E36</f>
        <v>4.3498490911948107</v>
      </c>
      <c r="J390" s="1">
        <f>'[1]Electricity and CHPs_IN'!F36</f>
        <v>1.5546053673584794</v>
      </c>
      <c r="K390" s="1">
        <f>'[1]Electricity and CHPs_IN'!G36</f>
        <v>1.7549015798769052E-2</v>
      </c>
    </row>
    <row r="391" spans="1:11" x14ac:dyDescent="0.35">
      <c r="A391" s="5" t="s">
        <v>5</v>
      </c>
      <c r="B391" s="5" t="str">
        <f t="shared" si="215"/>
        <v>SPS3</v>
      </c>
      <c r="C391" s="5" t="s">
        <v>7</v>
      </c>
      <c r="D391" t="s">
        <v>141</v>
      </c>
      <c r="E391" t="str">
        <f t="shared" si="204"/>
        <v>PJ/yr.</v>
      </c>
      <c r="F391" s="1">
        <f>'[1]Electricity and CHPs_IN'!B37</f>
        <v>0.86248322578584768</v>
      </c>
      <c r="G391" s="1">
        <f>'[1]Electricity and CHPs_IN'!C37</f>
        <v>1.2876259229214706</v>
      </c>
      <c r="H391" s="1">
        <f>'[1]Electricity and CHPs_IN'!D37</f>
        <v>3.4857293140469885</v>
      </c>
      <c r="I391" s="1">
        <f>'[1]Electricity and CHPs_IN'!E37</f>
        <v>3.8173603702351038</v>
      </c>
      <c r="J391" s="1">
        <f>'[1]Electricity and CHPs_IN'!F37</f>
        <v>4.2168105430355673</v>
      </c>
      <c r="K391" s="1">
        <f>'[1]Electricity and CHPs_IN'!G37</f>
        <v>4.6580656474394679</v>
      </c>
    </row>
    <row r="392" spans="1:11" x14ac:dyDescent="0.35">
      <c r="A392" s="5" t="s">
        <v>5</v>
      </c>
      <c r="B392" s="5" t="str">
        <f t="shared" si="215"/>
        <v>SPS3</v>
      </c>
      <c r="C392" s="5" t="s">
        <v>7</v>
      </c>
      <c r="D392" t="s">
        <v>142</v>
      </c>
      <c r="E392" t="str">
        <f t="shared" si="204"/>
        <v>PJ/yr.</v>
      </c>
      <c r="F392" s="1">
        <f>'[1]Electricity and CHPs_IN'!B38</f>
        <v>2.8396236857719668</v>
      </c>
      <c r="G392" s="1">
        <f>'[1]Electricity and CHPs_IN'!C38</f>
        <v>3.2944552202001307</v>
      </c>
      <c r="H392" s="1">
        <f>'[1]Electricity and CHPs_IN'!D38</f>
        <v>9.9661619519556197</v>
      </c>
      <c r="I392" s="1">
        <f>'[1]Electricity and CHPs_IN'!E38</f>
        <v>10.737245362561856</v>
      </c>
      <c r="J392" s="1">
        <f>'[1]Electricity and CHPs_IN'!F38</f>
        <v>13.898311195948592</v>
      </c>
      <c r="K392" s="1">
        <f>'[1]Electricity and CHPs_IN'!G38</f>
        <v>20.985711386197028</v>
      </c>
    </row>
    <row r="393" spans="1:11" x14ac:dyDescent="0.35">
      <c r="A393" s="5" t="s">
        <v>5</v>
      </c>
      <c r="B393" s="5" t="str">
        <f t="shared" si="215"/>
        <v>SPS3</v>
      </c>
      <c r="C393" s="5" t="s">
        <v>7</v>
      </c>
      <c r="D393" t="s">
        <v>860</v>
      </c>
      <c r="E393" t="str">
        <f t="shared" si="204"/>
        <v>PJ/yr.</v>
      </c>
      <c r="F393" s="1">
        <f>'[1]Electricity and CHPs'!B252</f>
        <v>0</v>
      </c>
      <c r="G393" s="1">
        <f>'[1]Electricity and CHPs'!C252</f>
        <v>0</v>
      </c>
      <c r="H393" s="1">
        <f>'[1]Electricity and CHPs'!D252</f>
        <v>0</v>
      </c>
      <c r="I393" s="1">
        <f>'[1]Electricity and CHPs'!E252</f>
        <v>0</v>
      </c>
      <c r="J393" s="1">
        <f>'[1]Electricity and CHPs'!F252</f>
        <v>0</v>
      </c>
      <c r="K393" s="1">
        <f>'[1]Electricity and CHPs'!G252</f>
        <v>0</v>
      </c>
    </row>
    <row r="394" spans="1:11" x14ac:dyDescent="0.35">
      <c r="A394" s="5" t="s">
        <v>5</v>
      </c>
      <c r="B394" s="5" t="str">
        <f t="shared" si="215"/>
        <v>SPS3</v>
      </c>
      <c r="C394" s="5" t="s">
        <v>7</v>
      </c>
      <c r="D394" t="s">
        <v>143</v>
      </c>
      <c r="E394" t="str">
        <f t="shared" si="204"/>
        <v>PJ/yr.</v>
      </c>
      <c r="F394" s="1">
        <f>'[1]Electricity and CHPs_IN'!B$32</f>
        <v>0</v>
      </c>
      <c r="G394" s="1">
        <f>'[1]Electricity and CHPs_IN'!C$32</f>
        <v>0</v>
      </c>
      <c r="H394" s="1">
        <f>'[1]Electricity and CHPs_IN'!D$32</f>
        <v>0</v>
      </c>
      <c r="I394" s="1">
        <f>'[1]Electricity and CHPs_IN'!E$32</f>
        <v>0</v>
      </c>
      <c r="J394" s="1">
        <f>'[1]Electricity and CHPs_IN'!F$32</f>
        <v>0</v>
      </c>
      <c r="K394" s="1">
        <f>'[1]Electricity and CHPs_IN'!G$32</f>
        <v>0</v>
      </c>
    </row>
    <row r="395" spans="1:11" x14ac:dyDescent="0.35">
      <c r="A395" s="5" t="s">
        <v>5</v>
      </c>
      <c r="B395" s="5" t="str">
        <f t="shared" si="215"/>
        <v>SPS3</v>
      </c>
      <c r="C395" s="5" t="s">
        <v>7</v>
      </c>
      <c r="D395" t="s">
        <v>861</v>
      </c>
      <c r="E395" t="str">
        <f t="shared" si="204"/>
        <v>PJ/yr.</v>
      </c>
      <c r="F395" s="1">
        <f t="shared" ref="F395" si="224">SUM(F396:F398)</f>
        <v>0</v>
      </c>
      <c r="G395" s="1">
        <f t="shared" ref="G395" si="225">SUM(G396:G398)</f>
        <v>0</v>
      </c>
      <c r="H395" s="1">
        <f t="shared" ref="H395" si="226">SUM(H396:H398)</f>
        <v>0</v>
      </c>
      <c r="I395" s="1">
        <f t="shared" ref="I395" si="227">SUM(I396:I398)</f>
        <v>4.2506010018100136E-3</v>
      </c>
      <c r="J395" s="1">
        <f t="shared" ref="J395" si="228">SUM(J396:J398)</f>
        <v>7.4192543883446682E-3</v>
      </c>
      <c r="K395" s="1">
        <f t="shared" ref="K395" si="229">SUM(K396:K398)</f>
        <v>4.289156171731574</v>
      </c>
    </row>
    <row r="396" spans="1:11" x14ac:dyDescent="0.35">
      <c r="A396" s="5" t="s">
        <v>5</v>
      </c>
      <c r="B396" s="5" t="str">
        <f t="shared" si="215"/>
        <v>SPS3</v>
      </c>
      <c r="C396" s="5" t="s">
        <v>7</v>
      </c>
      <c r="D396" t="s">
        <v>144</v>
      </c>
      <c r="E396" t="str">
        <f t="shared" si="204"/>
        <v>PJ/yr.</v>
      </c>
      <c r="F396" s="1">
        <f>IFERROR(F168/SUM(F168,F207),0)*'[1]Electricity and CHPs_IN'!B$30</f>
        <v>0</v>
      </c>
      <c r="G396" s="1">
        <f>IFERROR(G168/SUM(G168,G207),0)*'[1]Electricity and CHPs_IN'!C$30</f>
        <v>0</v>
      </c>
      <c r="H396" s="1">
        <f>IFERROR(H168/SUM(H168,H207),0)*'[1]Electricity and CHPs_IN'!D$30</f>
        <v>0</v>
      </c>
      <c r="I396" s="1">
        <f>IFERROR(I168/SUM(I168,I207),0)*'[1]Electricity and CHPs_IN'!E$30</f>
        <v>0</v>
      </c>
      <c r="J396" s="1">
        <f>IFERROR(J168/SUM(J168,J207),0)*'[1]Electricity and CHPs_IN'!F$30</f>
        <v>1.0534122539895341E-3</v>
      </c>
      <c r="K396" s="1">
        <f>IFERROR(K168/SUM(K168,K207),0)*'[1]Electricity and CHPs_IN'!G$30</f>
        <v>1.0302109416423374E-3</v>
      </c>
    </row>
    <row r="397" spans="1:11" x14ac:dyDescent="0.35">
      <c r="A397" s="5" t="s">
        <v>5</v>
      </c>
      <c r="B397" s="5" t="str">
        <f t="shared" si="215"/>
        <v>SPS3</v>
      </c>
      <c r="C397" s="5" t="s">
        <v>7</v>
      </c>
      <c r="D397" t="s">
        <v>145</v>
      </c>
      <c r="E397" t="str">
        <f t="shared" si="204"/>
        <v>PJ/yr.</v>
      </c>
      <c r="F397" s="1">
        <f>IFERROR(F169/SUM(F169,F287),0)*'[1]Electricity and CHPs_IN'!B$46</f>
        <v>0</v>
      </c>
      <c r="G397" s="1">
        <f>IFERROR(G169/SUM(G169,G287),0)*'[1]Electricity and CHPs_IN'!C$46</f>
        <v>0</v>
      </c>
      <c r="H397" s="1">
        <f>IFERROR(H169/SUM(H169,H287),0)*'[1]Electricity and CHPs_IN'!D$46</f>
        <v>0</v>
      </c>
      <c r="I397" s="1">
        <f>IFERROR(I169/SUM(I169,I287),0)*'[1]Electricity and CHPs_IN'!E$46</f>
        <v>0</v>
      </c>
      <c r="J397" s="1">
        <f>IFERROR(J169/SUM(J169,J287),0)*'[1]Electricity and CHPs_IN'!F$46</f>
        <v>5.4127434069954575E-3</v>
      </c>
      <c r="K397" s="1">
        <f>IFERROR(K169/SUM(K169,K287),0)*'[1]Electricity and CHPs_IN'!G$46</f>
        <v>4.2505838412977699</v>
      </c>
    </row>
    <row r="398" spans="1:11" x14ac:dyDescent="0.35">
      <c r="A398" s="5" t="s">
        <v>5</v>
      </c>
      <c r="B398" s="5" t="str">
        <f t="shared" si="215"/>
        <v>SPS3</v>
      </c>
      <c r="C398" s="5" t="s">
        <v>7</v>
      </c>
      <c r="D398" t="s">
        <v>237</v>
      </c>
      <c r="E398" t="str">
        <f t="shared" si="204"/>
        <v>PJ/yr.</v>
      </c>
      <c r="F398" s="1">
        <f>IFERROR(F170/SUM(F170,F288),0)*'[1]Electricity and CHPs_IN'!B$57</f>
        <v>0</v>
      </c>
      <c r="G398" s="1">
        <f>IFERROR(G170/SUM(G170,G288),0)*'[1]Electricity and CHPs_IN'!C$57</f>
        <v>0</v>
      </c>
      <c r="H398" s="1">
        <f>IFERROR(H170/SUM(H170,H288),0)*'[1]Electricity and CHPs_IN'!D$57</f>
        <v>0</v>
      </c>
      <c r="I398" s="1">
        <f>IFERROR(I170/SUM(I170,I288),0)*'[1]Electricity and CHPs_IN'!E$57</f>
        <v>4.2506010018100136E-3</v>
      </c>
      <c r="J398" s="1">
        <f>IFERROR(J170/SUM(J170,J288),0)*'[1]Electricity and CHPs_IN'!F$57</f>
        <v>9.5309872735967606E-4</v>
      </c>
      <c r="K398" s="1">
        <f>IFERROR(K170/SUM(K170,K288),0)*'[1]Electricity and CHPs_IN'!G$57</f>
        <v>3.7542119492161768E-2</v>
      </c>
    </row>
    <row r="399" spans="1:11" x14ac:dyDescent="0.35">
      <c r="A399" s="5" t="s">
        <v>5</v>
      </c>
      <c r="B399" s="5" t="str">
        <f t="shared" si="215"/>
        <v>SPS3</v>
      </c>
      <c r="C399" s="5" t="s">
        <v>7</v>
      </c>
      <c r="D399" t="s">
        <v>862</v>
      </c>
      <c r="E399" t="str">
        <f t="shared" si="204"/>
        <v>PJ/yr.</v>
      </c>
      <c r="F399" s="1">
        <f>SUM(F400:F406)</f>
        <v>0.17230844049884006</v>
      </c>
      <c r="G399" s="1">
        <f t="shared" ref="G399:K399" si="230">SUM(G400:G406)</f>
        <v>4.9329845915831894E-2</v>
      </c>
      <c r="H399" s="1">
        <f t="shared" si="230"/>
        <v>0.17137544416643199</v>
      </c>
      <c r="I399" s="1">
        <f t="shared" si="230"/>
        <v>0.41244936213781941</v>
      </c>
      <c r="J399" s="1">
        <f t="shared" si="230"/>
        <v>2.8102960426104145E-2</v>
      </c>
      <c r="K399" s="1">
        <f t="shared" si="230"/>
        <v>0.30408016370850022</v>
      </c>
    </row>
    <row r="400" spans="1:11" x14ac:dyDescent="0.35">
      <c r="A400" s="5" t="s">
        <v>5</v>
      </c>
      <c r="B400" s="5" t="str">
        <f t="shared" si="215"/>
        <v>SPS3</v>
      </c>
      <c r="C400" s="5" t="s">
        <v>7</v>
      </c>
      <c r="D400" t="s">
        <v>146</v>
      </c>
      <c r="E400" t="str">
        <f t="shared" si="204"/>
        <v>PJ/yr.</v>
      </c>
      <c r="F400" s="1">
        <f>'[1]Electricity and CHPs_IN'!B63</f>
        <v>0.13528013018235582</v>
      </c>
      <c r="G400" s="1">
        <f>'[1]Electricity and CHPs_IN'!C63</f>
        <v>1.6406034550318003E-2</v>
      </c>
      <c r="H400" s="1">
        <f>'[1]Electricity and CHPs_IN'!D63</f>
        <v>0.13491687988865181</v>
      </c>
      <c r="I400" s="1">
        <f>'[1]Electricity and CHPs_IN'!E63</f>
        <v>0.1350047534251276</v>
      </c>
      <c r="J400" s="1">
        <f>'[1]Electricity and CHPs_IN'!F63</f>
        <v>2.9312539379885424E-4</v>
      </c>
      <c r="K400" s="1">
        <f>'[1]Electricity and CHPs_IN'!G63</f>
        <v>1.1052063884879242E-4</v>
      </c>
    </row>
    <row r="401" spans="1:19" x14ac:dyDescent="0.35">
      <c r="A401" s="5" t="s">
        <v>5</v>
      </c>
      <c r="B401" s="5" t="str">
        <f t="shared" si="215"/>
        <v>SPS3</v>
      </c>
      <c r="C401" s="5" t="s">
        <v>7</v>
      </c>
      <c r="D401" t="s">
        <v>147</v>
      </c>
      <c r="E401" t="str">
        <f t="shared" si="204"/>
        <v>PJ/yr.</v>
      </c>
      <c r="F401" s="1">
        <f>'[1]Electricity and CHPs_IN'!B64</f>
        <v>9.5683657220507288E-3</v>
      </c>
      <c r="G401" s="1">
        <f>'[1]Electricity and CHPs_IN'!C64</f>
        <v>7.7863138369526786E-3</v>
      </c>
      <c r="H401" s="1">
        <f>'[1]Electricity and CHPs_IN'!D64</f>
        <v>9.4060792678875901E-3</v>
      </c>
      <c r="I401" s="1">
        <f>'[1]Electricity and CHPs_IN'!E64</f>
        <v>5.6500017730076449E-3</v>
      </c>
      <c r="J401" s="1">
        <f>'[1]Electricity and CHPs_IN'!F64</f>
        <v>5.652478948439235E-3</v>
      </c>
      <c r="K401" s="1">
        <f>'[1]Electricity and CHPs_IN'!G64</f>
        <v>4.3693981865816398E-2</v>
      </c>
    </row>
    <row r="402" spans="1:19" x14ac:dyDescent="0.35">
      <c r="A402" s="5" t="s">
        <v>5</v>
      </c>
      <c r="B402" s="5" t="str">
        <f t="shared" si="215"/>
        <v>SPS3</v>
      </c>
      <c r="C402" s="5" t="s">
        <v>7</v>
      </c>
      <c r="D402" t="s">
        <v>148</v>
      </c>
      <c r="E402" t="str">
        <f t="shared" si="204"/>
        <v>PJ/yr.</v>
      </c>
      <c r="F402" s="1">
        <f>'[1]Electricity and CHPs_IN'!B65</f>
        <v>9.4078962495331118E-3</v>
      </c>
      <c r="G402" s="1">
        <f>'[1]Electricity and CHPs_IN'!C65</f>
        <v>7.2692596055969659E-3</v>
      </c>
      <c r="H402" s="1">
        <f>'[1]Electricity and CHPs_IN'!D65</f>
        <v>9.1908715830686764E-3</v>
      </c>
      <c r="I402" s="1">
        <f>'[1]Electricity and CHPs_IN'!E65</f>
        <v>1.0057060510688977E-2</v>
      </c>
      <c r="J402" s="1">
        <f>'[1]Electricity and CHPs_IN'!F65</f>
        <v>3.397889005046343E-3</v>
      </c>
      <c r="K402" s="1">
        <f>'[1]Electricity and CHPs_IN'!G65</f>
        <v>0.11125209866505022</v>
      </c>
    </row>
    <row r="403" spans="1:19" x14ac:dyDescent="0.35">
      <c r="A403" s="5" t="s">
        <v>5</v>
      </c>
      <c r="B403" s="5" t="str">
        <f t="shared" si="215"/>
        <v>SPS3</v>
      </c>
      <c r="C403" s="5" t="s">
        <v>7</v>
      </c>
      <c r="D403" t="s">
        <v>149</v>
      </c>
      <c r="E403" t="str">
        <f t="shared" si="204"/>
        <v>PJ/yr.</v>
      </c>
      <c r="F403" s="1">
        <f>'[1]Electricity and CHPs_IN'!B66</f>
        <v>3.0025273692861959E-3</v>
      </c>
      <c r="G403" s="1">
        <f>'[1]Electricity and CHPs_IN'!C66</f>
        <v>2.9716405886201628E-3</v>
      </c>
      <c r="H403" s="1">
        <f>'[1]Electricity and CHPs_IN'!D66</f>
        <v>2.9716563441078881E-3</v>
      </c>
      <c r="I403" s="1">
        <f>'[1]Electricity and CHPs_IN'!E66</f>
        <v>5.2303506067058532E-2</v>
      </c>
      <c r="J403" s="1">
        <f>'[1]Electricity and CHPs_IN'!F66</f>
        <v>3.9788688779290272E-3</v>
      </c>
      <c r="K403" s="1">
        <f>'[1]Electricity and CHPs_IN'!G66</f>
        <v>1.5441112358861312E-2</v>
      </c>
    </row>
    <row r="404" spans="1:19" x14ac:dyDescent="0.35">
      <c r="A404" s="5" t="s">
        <v>5</v>
      </c>
      <c r="B404" s="5" t="str">
        <f t="shared" si="215"/>
        <v>SPS3</v>
      </c>
      <c r="C404" s="5" t="s">
        <v>7</v>
      </c>
      <c r="D404" t="s">
        <v>1854</v>
      </c>
      <c r="E404" t="str">
        <f t="shared" si="204"/>
        <v>PJ/yr.</v>
      </c>
      <c r="F404" s="1">
        <f>'[1]Electricity and CHPs_IN'!B67</f>
        <v>6.0188505446161396E-3</v>
      </c>
      <c r="G404" s="1">
        <f>'[1]Electricity and CHPs_IN'!C67</f>
        <v>5.9577375525977118E-3</v>
      </c>
      <c r="H404" s="1">
        <f>'[1]Electricity and CHPs_IN'!D67</f>
        <v>5.9553291270369162E-3</v>
      </c>
      <c r="I404" s="1">
        <f>'[1]Electricity and CHPs_IN'!E67</f>
        <v>7.8121212458132472E-2</v>
      </c>
      <c r="J404" s="1">
        <f>'[1]Electricity and CHPs_IN'!F67</f>
        <v>5.1792796380034575E-3</v>
      </c>
      <c r="K404" s="1">
        <f>'[1]Electricity and CHPs_IN'!G67</f>
        <v>5.0822186948514411E-2</v>
      </c>
    </row>
    <row r="405" spans="1:19" x14ac:dyDescent="0.35">
      <c r="A405" s="5" t="s">
        <v>5</v>
      </c>
      <c r="B405" s="5" t="str">
        <f t="shared" si="215"/>
        <v>SPS3</v>
      </c>
      <c r="C405" s="5" t="s">
        <v>7</v>
      </c>
      <c r="D405" t="s">
        <v>150</v>
      </c>
      <c r="E405" t="str">
        <f t="shared" si="204"/>
        <v>PJ/yr.</v>
      </c>
      <c r="F405" s="1">
        <f>'[1]Electricity and CHPs_IN'!B68</f>
        <v>6.0174180955722498E-3</v>
      </c>
      <c r="G405" s="1">
        <f>'[1]Electricity and CHPs_IN'!C68</f>
        <v>5.956335164324764E-3</v>
      </c>
      <c r="H405" s="1">
        <f>'[1]Electricity and CHPs_IN'!D68</f>
        <v>5.9522297387138937E-3</v>
      </c>
      <c r="I405" s="1">
        <f>'[1]Electricity and CHPs_IN'!E68</f>
        <v>7.9318531044763052E-2</v>
      </c>
      <c r="J405" s="1">
        <f>'[1]Electricity and CHPs_IN'!F68</f>
        <v>5.4377281938071034E-3</v>
      </c>
      <c r="K405" s="1">
        <f>'[1]Electricity and CHPs_IN'!G68</f>
        <v>5.0837305208419267E-2</v>
      </c>
    </row>
    <row r="406" spans="1:19" x14ac:dyDescent="0.35">
      <c r="A406" s="5" t="s">
        <v>5</v>
      </c>
      <c r="B406" s="5" t="str">
        <f t="shared" si="215"/>
        <v>SPS3</v>
      </c>
      <c r="C406" s="5" t="s">
        <v>7</v>
      </c>
      <c r="D406" t="s">
        <v>151</v>
      </c>
      <c r="E406" t="str">
        <f t="shared" si="204"/>
        <v>PJ/yr.</v>
      </c>
      <c r="F406" s="1">
        <f>'[1]Electricity and CHPs_IN'!B69</f>
        <v>3.0132523354258205E-3</v>
      </c>
      <c r="G406" s="1">
        <f>'[1]Electricity and CHPs_IN'!C69</f>
        <v>2.982524617421608E-3</v>
      </c>
      <c r="H406" s="1">
        <f>'[1]Electricity and CHPs_IN'!D69</f>
        <v>2.9823982169652295E-3</v>
      </c>
      <c r="I406" s="1">
        <f>'[1]Electricity and CHPs_IN'!E69</f>
        <v>5.1994296859041146E-2</v>
      </c>
      <c r="J406" s="1">
        <f>'[1]Electricity and CHPs_IN'!F69</f>
        <v>4.1635903690801267E-3</v>
      </c>
      <c r="K406" s="1">
        <f>'[1]Electricity and CHPs_IN'!G69</f>
        <v>3.1922958022989847E-2</v>
      </c>
    </row>
    <row r="407" spans="1:19" x14ac:dyDescent="0.35">
      <c r="A407" s="5"/>
      <c r="B407" s="9" t="str">
        <f t="shared" si="215"/>
        <v>SPS3</v>
      </c>
      <c r="C407" s="2" t="str">
        <f t="shared" ref="C407" si="231">C406</f>
        <v>CH</v>
      </c>
      <c r="D407" s="2" t="s">
        <v>190</v>
      </c>
      <c r="E407" s="2" t="str">
        <f>E395</f>
        <v>PJ/yr.</v>
      </c>
      <c r="F407" s="3">
        <f>F408+F461</f>
        <v>56.068469877124372</v>
      </c>
      <c r="G407" s="3">
        <f t="shared" ref="G407:K407" si="232">G408+G461</f>
        <v>57.300342815458862</v>
      </c>
      <c r="H407" s="3">
        <f t="shared" si="232"/>
        <v>55.76999002864433</v>
      </c>
      <c r="I407" s="3">
        <f t="shared" si="232"/>
        <v>66.855545729441531</v>
      </c>
      <c r="J407" s="3">
        <f t="shared" si="232"/>
        <v>57.87254070771823</v>
      </c>
      <c r="K407" s="3">
        <f t="shared" si="232"/>
        <v>62.423617149246482</v>
      </c>
      <c r="M407" s="11"/>
      <c r="N407" s="11"/>
      <c r="O407" s="11"/>
      <c r="P407" s="11"/>
      <c r="Q407" s="11"/>
      <c r="R407" s="11"/>
      <c r="S407" s="11"/>
    </row>
    <row r="408" spans="1:19" x14ac:dyDescent="0.35">
      <c r="A408" s="5"/>
      <c r="B408" s="5" t="str">
        <f t="shared" si="215"/>
        <v>SPS3</v>
      </c>
      <c r="C408" s="5" t="s">
        <v>7</v>
      </c>
      <c r="D408" t="s">
        <v>863</v>
      </c>
      <c r="E408" t="str">
        <f>E396</f>
        <v>PJ/yr.</v>
      </c>
      <c r="F408" s="1">
        <f t="shared" ref="F408:K408" si="233">F409+F438</f>
        <v>48.07341405114078</v>
      </c>
      <c r="G408" s="1">
        <f t="shared" si="233"/>
        <v>49.261206160411476</v>
      </c>
      <c r="H408" s="1">
        <f t="shared" si="233"/>
        <v>45.189241251188136</v>
      </c>
      <c r="I408" s="1">
        <f t="shared" si="233"/>
        <v>50.996126963013566</v>
      </c>
      <c r="J408" s="1">
        <f t="shared" si="233"/>
        <v>40.20117759417009</v>
      </c>
      <c r="K408" s="1">
        <f t="shared" si="233"/>
        <v>37.330933475853158</v>
      </c>
      <c r="M408" s="11"/>
      <c r="N408" s="11"/>
      <c r="O408" s="11"/>
      <c r="P408" s="11"/>
      <c r="Q408" s="11"/>
      <c r="R408" s="11"/>
      <c r="S408" s="11"/>
    </row>
    <row r="409" spans="1:19" x14ac:dyDescent="0.35">
      <c r="A409" s="5"/>
      <c r="B409" s="5" t="str">
        <f t="shared" si="215"/>
        <v>SPS3</v>
      </c>
      <c r="C409" s="5" t="s">
        <v>7</v>
      </c>
      <c r="D409" t="s">
        <v>864</v>
      </c>
      <c r="E409" t="str">
        <f>E393</f>
        <v>PJ/yr.</v>
      </c>
      <c r="F409" s="1">
        <f>SUM(F410,F416,F425,F434,F436)</f>
        <v>38.865667005202518</v>
      </c>
      <c r="G409" s="1">
        <f t="shared" ref="G409:K409" si="234">SUM(G410,G416,G425,G434,G436)</f>
        <v>36.247825513254817</v>
      </c>
      <c r="H409" s="1">
        <f t="shared" si="234"/>
        <v>33.270094312746551</v>
      </c>
      <c r="I409" s="1">
        <f t="shared" si="234"/>
        <v>36.504910955570494</v>
      </c>
      <c r="J409" s="1">
        <f t="shared" si="234"/>
        <v>28.103728669457482</v>
      </c>
      <c r="K409" s="1">
        <f t="shared" si="234"/>
        <v>24.834250452690796</v>
      </c>
    </row>
    <row r="410" spans="1:19" x14ac:dyDescent="0.35">
      <c r="A410" s="5"/>
      <c r="B410" s="5" t="str">
        <f t="shared" si="215"/>
        <v>SPS3</v>
      </c>
      <c r="C410" s="5" t="s">
        <v>7</v>
      </c>
      <c r="D410" t="s">
        <v>865</v>
      </c>
      <c r="E410" t="s">
        <v>8</v>
      </c>
      <c r="F410" s="1">
        <f>F411</f>
        <v>2.5703730129072982E-2</v>
      </c>
      <c r="G410" s="1">
        <f t="shared" ref="G410:K410" si="235">G411</f>
        <v>1.5179216623426608</v>
      </c>
      <c r="H410" s="1">
        <f t="shared" si="235"/>
        <v>5.0249601722088873E-2</v>
      </c>
      <c r="I410" s="1">
        <f t="shared" si="235"/>
        <v>9.5800001417472821E-4</v>
      </c>
      <c r="J410" s="1">
        <f t="shared" si="235"/>
        <v>8.2730238223081062E-4</v>
      </c>
      <c r="K410" s="1">
        <f t="shared" si="235"/>
        <v>1.1237631215541398E-4</v>
      </c>
    </row>
    <row r="411" spans="1:19" x14ac:dyDescent="0.35">
      <c r="A411" s="5"/>
      <c r="B411" s="5" t="str">
        <f t="shared" si="215"/>
        <v>SPS3</v>
      </c>
      <c r="C411" s="5" t="s">
        <v>7</v>
      </c>
      <c r="D411" t="s">
        <v>231</v>
      </c>
      <c r="E411" t="s">
        <v>8</v>
      </c>
      <c r="F411" s="1">
        <f>'[1]Electricity and CHPs_IN'!B$28-F298</f>
        <v>2.5703730129072982E-2</v>
      </c>
      <c r="G411" s="1">
        <f>'[1]Electricity and CHPs_IN'!C$28-G298</f>
        <v>1.5179216623426608</v>
      </c>
      <c r="H411" s="1">
        <f>'[1]Electricity and CHPs_IN'!D$28-H298</f>
        <v>5.0249601722088873E-2</v>
      </c>
      <c r="I411" s="1">
        <f>'[1]Electricity and CHPs_IN'!E$28-I298</f>
        <v>9.5800001417472821E-4</v>
      </c>
      <c r="J411" s="1">
        <f>'[1]Electricity and CHPs_IN'!F$28-J298</f>
        <v>8.2730238223081062E-4</v>
      </c>
      <c r="K411" s="1">
        <f>'[1]Electricity and CHPs_IN'!G$28-K298</f>
        <v>1.1237631215541398E-4</v>
      </c>
    </row>
    <row r="412" spans="1:19" x14ac:dyDescent="0.35">
      <c r="A412" s="5"/>
      <c r="B412" s="5" t="str">
        <f t="shared" si="215"/>
        <v>SPS3</v>
      </c>
      <c r="C412" s="5" t="s">
        <v>7</v>
      </c>
      <c r="D412" t="s">
        <v>866</v>
      </c>
      <c r="E412" t="s">
        <v>8</v>
      </c>
      <c r="F412" s="1">
        <f>F413</f>
        <v>2.5703730129072982E-2</v>
      </c>
      <c r="G412" s="1">
        <f t="shared" ref="G412:K412" si="236">G413</f>
        <v>1.5179216623426608</v>
      </c>
      <c r="H412" s="1">
        <f t="shared" si="236"/>
        <v>5.0249601722088873E-2</v>
      </c>
      <c r="I412" s="1">
        <f t="shared" si="236"/>
        <v>9.5800001417472821E-4</v>
      </c>
      <c r="J412" s="1">
        <f t="shared" si="236"/>
        <v>8.2730238223081062E-4</v>
      </c>
      <c r="K412" s="1">
        <f t="shared" si="236"/>
        <v>1.1237631215541398E-4</v>
      </c>
    </row>
    <row r="413" spans="1:19" x14ac:dyDescent="0.35">
      <c r="A413" s="5"/>
      <c r="B413" s="5" t="str">
        <f t="shared" si="215"/>
        <v>SPS3</v>
      </c>
      <c r="C413" s="5" t="s">
        <v>7</v>
      </c>
      <c r="D413" t="s">
        <v>523</v>
      </c>
      <c r="E413" t="s">
        <v>8</v>
      </c>
      <c r="F413" s="1">
        <f>F411-F415</f>
        <v>2.5703730129072982E-2</v>
      </c>
      <c r="G413" s="1">
        <f t="shared" ref="G413:K413" si="237">G411-G415</f>
        <v>1.5179216623426608</v>
      </c>
      <c r="H413" s="1">
        <f t="shared" si="237"/>
        <v>5.0249601722088873E-2</v>
      </c>
      <c r="I413" s="1">
        <f t="shared" si="237"/>
        <v>9.5800001417472821E-4</v>
      </c>
      <c r="J413" s="1">
        <f t="shared" si="237"/>
        <v>8.2730238223081062E-4</v>
      </c>
      <c r="K413" s="1">
        <f t="shared" si="237"/>
        <v>1.1237631215541398E-4</v>
      </c>
    </row>
    <row r="414" spans="1:19" x14ac:dyDescent="0.35">
      <c r="A414" s="5"/>
      <c r="B414" s="5" t="str">
        <f t="shared" si="215"/>
        <v>SPS3</v>
      </c>
      <c r="C414" s="5" t="s">
        <v>7</v>
      </c>
      <c r="D414" t="s">
        <v>867</v>
      </c>
      <c r="E414" t="s">
        <v>8</v>
      </c>
      <c r="F414" s="1">
        <f>F415</f>
        <v>0</v>
      </c>
      <c r="G414" s="1">
        <f t="shared" ref="G414:K414" si="238">G415</f>
        <v>0</v>
      </c>
      <c r="H414" s="1">
        <f t="shared" si="238"/>
        <v>0</v>
      </c>
      <c r="I414" s="1">
        <f t="shared" si="238"/>
        <v>0</v>
      </c>
      <c r="J414" s="1">
        <f t="shared" si="238"/>
        <v>0</v>
      </c>
      <c r="K414" s="1">
        <f t="shared" si="238"/>
        <v>0</v>
      </c>
    </row>
    <row r="415" spans="1:19" x14ac:dyDescent="0.35">
      <c r="A415" s="5"/>
      <c r="B415" s="5" t="str">
        <f t="shared" si="215"/>
        <v>SPS3</v>
      </c>
      <c r="C415" s="5" t="s">
        <v>7</v>
      </c>
      <c r="D415" t="s">
        <v>547</v>
      </c>
      <c r="E415" t="s">
        <v>8</v>
      </c>
      <c r="F415" s="1">
        <f>IFERROR(F306/F298,0)*F411</f>
        <v>0</v>
      </c>
      <c r="G415" s="1">
        <f t="shared" ref="G415:K415" si="239">IFERROR(G306/G298,0)*G411</f>
        <v>0</v>
      </c>
      <c r="H415" s="1">
        <f t="shared" si="239"/>
        <v>0</v>
      </c>
      <c r="I415" s="1">
        <f t="shared" si="239"/>
        <v>0</v>
      </c>
      <c r="J415" s="1">
        <f t="shared" si="239"/>
        <v>0</v>
      </c>
      <c r="K415" s="1">
        <f t="shared" si="239"/>
        <v>0</v>
      </c>
    </row>
    <row r="416" spans="1:19" x14ac:dyDescent="0.35">
      <c r="A416" s="5"/>
      <c r="B416" s="5" t="str">
        <f t="shared" si="215"/>
        <v>SPS3</v>
      </c>
      <c r="C416" s="5" t="s">
        <v>7</v>
      </c>
      <c r="D416" t="s">
        <v>868</v>
      </c>
      <c r="E416" t="s">
        <v>8</v>
      </c>
      <c r="F416" s="1">
        <f>SUM(F417:F418)</f>
        <v>2.4111478255427139</v>
      </c>
      <c r="G416" s="1">
        <f t="shared" ref="G416:K416" si="240">SUM(G417:G418)</f>
        <v>1.6525223054418173E-3</v>
      </c>
      <c r="H416" s="1">
        <f t="shared" si="240"/>
        <v>0.48804814623097409</v>
      </c>
      <c r="I416" s="1">
        <f t="shared" si="240"/>
        <v>1.7670549618572324E-3</v>
      </c>
      <c r="J416" s="1">
        <f t="shared" si="240"/>
        <v>0.4134933987311149</v>
      </c>
      <c r="K416" s="1">
        <f t="shared" si="240"/>
        <v>3.6980086085508501E-4</v>
      </c>
    </row>
    <row r="417" spans="1:11" x14ac:dyDescent="0.35">
      <c r="A417" s="5"/>
      <c r="B417" s="5" t="str">
        <f t="shared" si="215"/>
        <v>SPS3</v>
      </c>
      <c r="C417" s="5" t="s">
        <v>7</v>
      </c>
      <c r="D417" t="s">
        <v>191</v>
      </c>
      <c r="E417" t="s">
        <v>8</v>
      </c>
      <c r="F417" s="1">
        <f>'[1]Electricity and CHPs_IN'!B$24-F312</f>
        <v>2.4111478255427139</v>
      </c>
      <c r="G417" s="1">
        <f>'[1]Electricity and CHPs_IN'!C$24-G312</f>
        <v>1.6525223054418173E-3</v>
      </c>
      <c r="H417" s="1">
        <f>'[1]Electricity and CHPs_IN'!D$24-H312</f>
        <v>0.48804814623097409</v>
      </c>
      <c r="I417" s="1">
        <f>'[1]Electricity and CHPs_IN'!E$24-I312</f>
        <v>1.7670549618572324E-3</v>
      </c>
      <c r="J417" s="1">
        <f>'[1]Electricity and CHPs_IN'!F$24-J312</f>
        <v>1.7586825949895491E-3</v>
      </c>
      <c r="K417" s="1">
        <f>'[1]Electricity and CHPs_IN'!G$24-K312</f>
        <v>1.9168081144149728E-4</v>
      </c>
    </row>
    <row r="418" spans="1:11" x14ac:dyDescent="0.35">
      <c r="A418" s="5"/>
      <c r="B418" s="5" t="str">
        <f t="shared" si="215"/>
        <v>SPS3</v>
      </c>
      <c r="C418" s="5" t="s">
        <v>7</v>
      </c>
      <c r="D418" t="s">
        <v>192</v>
      </c>
      <c r="E418" t="s">
        <v>8</v>
      </c>
      <c r="F418" s="1">
        <f>'[1]Electricity and CHPs_IN'!B$29-F313</f>
        <v>0</v>
      </c>
      <c r="G418" s="1">
        <f>'[1]Electricity and CHPs_IN'!C$29-G313</f>
        <v>0</v>
      </c>
      <c r="H418" s="1">
        <f>'[1]Electricity and CHPs_IN'!D$29-H313</f>
        <v>0</v>
      </c>
      <c r="I418" s="1">
        <f>'[1]Electricity and CHPs_IN'!E$29-I313</f>
        <v>0</v>
      </c>
      <c r="J418" s="1">
        <f>'[1]Electricity and CHPs_IN'!F$29-J313</f>
        <v>0.41173471613612533</v>
      </c>
      <c r="K418" s="1">
        <f>'[1]Electricity and CHPs_IN'!G$29-K313</f>
        <v>1.7812004941358773E-4</v>
      </c>
    </row>
    <row r="419" spans="1:11" x14ac:dyDescent="0.35">
      <c r="A419" s="5"/>
      <c r="B419" s="5" t="str">
        <f t="shared" si="215"/>
        <v>SPS3</v>
      </c>
      <c r="C419" s="5" t="s">
        <v>7</v>
      </c>
      <c r="D419" t="s">
        <v>869</v>
      </c>
      <c r="E419" t="s">
        <v>8</v>
      </c>
      <c r="F419" s="1">
        <f>SUM(F420:F421)</f>
        <v>2.3486511566418251</v>
      </c>
      <c r="G419" s="1">
        <f t="shared" ref="G419:K419" si="241">SUM(G420:G421)</f>
        <v>1.6197506589332819E-3</v>
      </c>
      <c r="H419" s="1">
        <f t="shared" si="241"/>
        <v>0.48558389743336244</v>
      </c>
      <c r="I419" s="1">
        <f t="shared" si="241"/>
        <v>1.5844534303213892E-3</v>
      </c>
      <c r="J419" s="1">
        <f t="shared" si="241"/>
        <v>0.27777292950079524</v>
      </c>
      <c r="K419" s="1">
        <f t="shared" si="241"/>
        <v>5.0449142067858499E-8</v>
      </c>
    </row>
    <row r="420" spans="1:11" x14ac:dyDescent="0.35">
      <c r="A420" s="5"/>
      <c r="B420" s="5" t="str">
        <f t="shared" si="215"/>
        <v>SPS3</v>
      </c>
      <c r="C420" s="5" t="s">
        <v>7</v>
      </c>
      <c r="D420" t="s">
        <v>594</v>
      </c>
      <c r="E420" t="s">
        <v>8</v>
      </c>
      <c r="F420" s="1">
        <f>F417-F423</f>
        <v>2.3486511566418251</v>
      </c>
      <c r="G420" s="1">
        <f t="shared" ref="G420:K420" si="242">G417-G423</f>
        <v>1.6197506589332819E-3</v>
      </c>
      <c r="H420" s="1">
        <f t="shared" si="242"/>
        <v>0.48558389743336244</v>
      </c>
      <c r="I420" s="1">
        <f t="shared" si="242"/>
        <v>1.5844534303213892E-3</v>
      </c>
      <c r="J420" s="1">
        <f t="shared" si="242"/>
        <v>1.1814322017507637E-3</v>
      </c>
      <c r="K420" s="1">
        <f t="shared" si="242"/>
        <v>2.6149567271792091E-8</v>
      </c>
    </row>
    <row r="421" spans="1:11" x14ac:dyDescent="0.35">
      <c r="A421" s="5"/>
      <c r="B421" s="5" t="str">
        <f t="shared" si="215"/>
        <v>SPS3</v>
      </c>
      <c r="C421" s="5" t="s">
        <v>7</v>
      </c>
      <c r="D421" t="s">
        <v>595</v>
      </c>
      <c r="E421" t="s">
        <v>8</v>
      </c>
      <c r="F421" s="1">
        <f>F418-F424</f>
        <v>0</v>
      </c>
      <c r="G421" s="1">
        <f t="shared" ref="G421:K421" si="243">G418-G424</f>
        <v>0</v>
      </c>
      <c r="H421" s="1">
        <f t="shared" si="243"/>
        <v>0</v>
      </c>
      <c r="I421" s="1">
        <f t="shared" si="243"/>
        <v>0</v>
      </c>
      <c r="J421" s="1">
        <f t="shared" si="243"/>
        <v>0.27659149729904448</v>
      </c>
      <c r="K421" s="1">
        <f t="shared" si="243"/>
        <v>2.4299574796066408E-8</v>
      </c>
    </row>
    <row r="422" spans="1:11" x14ac:dyDescent="0.35">
      <c r="A422" s="5"/>
      <c r="B422" s="5" t="str">
        <f t="shared" si="215"/>
        <v>SPS3</v>
      </c>
      <c r="C422" s="5" t="s">
        <v>7</v>
      </c>
      <c r="D422" t="s">
        <v>870</v>
      </c>
      <c r="E422" t="s">
        <v>8</v>
      </c>
      <c r="F422" s="1">
        <f>SUM(F423:F424)</f>
        <v>6.249666890088898E-2</v>
      </c>
      <c r="G422" s="1">
        <f t="shared" ref="G422:K422" si="244">SUM(G423:G424)</f>
        <v>3.2771646508535409E-5</v>
      </c>
      <c r="H422" s="1">
        <f t="shared" si="244"/>
        <v>2.4642487976116725E-3</v>
      </c>
      <c r="I422" s="1">
        <f t="shared" si="244"/>
        <v>1.8260153153584315E-4</v>
      </c>
      <c r="J422" s="1">
        <f t="shared" si="244"/>
        <v>0.13572046923031963</v>
      </c>
      <c r="K422" s="1">
        <f t="shared" si="244"/>
        <v>3.6975041171301716E-4</v>
      </c>
    </row>
    <row r="423" spans="1:11" x14ac:dyDescent="0.35">
      <c r="A423" s="5"/>
      <c r="B423" s="5" t="str">
        <f t="shared" si="215"/>
        <v>SPS3</v>
      </c>
      <c r="C423" s="5" t="s">
        <v>7</v>
      </c>
      <c r="D423" t="s">
        <v>655</v>
      </c>
      <c r="E423" t="s">
        <v>8</v>
      </c>
      <c r="F423" s="1">
        <f>IFERROR(F344/F312,0)*F417</f>
        <v>6.249666890088898E-2</v>
      </c>
      <c r="G423" s="1">
        <f t="shared" ref="G423:K423" si="245">IFERROR(G344/G312,0)*G417</f>
        <v>3.2771646508535409E-5</v>
      </c>
      <c r="H423" s="1">
        <f t="shared" si="245"/>
        <v>2.4642487976116725E-3</v>
      </c>
      <c r="I423" s="1">
        <f t="shared" si="245"/>
        <v>1.8260153153584315E-4</v>
      </c>
      <c r="J423" s="1">
        <f t="shared" si="245"/>
        <v>5.7725039323878547E-4</v>
      </c>
      <c r="K423" s="1">
        <f t="shared" si="245"/>
        <v>1.9165466187422549E-4</v>
      </c>
    </row>
    <row r="424" spans="1:11" x14ac:dyDescent="0.35">
      <c r="A424" s="5"/>
      <c r="B424" s="5" t="str">
        <f t="shared" si="215"/>
        <v>SPS3</v>
      </c>
      <c r="C424" s="5" t="s">
        <v>7</v>
      </c>
      <c r="D424" t="s">
        <v>656</v>
      </c>
      <c r="E424" t="s">
        <v>8</v>
      </c>
      <c r="F424" s="1">
        <f>IFERROR(F345/F313,0)*F418</f>
        <v>0</v>
      </c>
      <c r="G424" s="1">
        <f t="shared" ref="G424:K424" si="246">IFERROR(G345/G313,0)*G418</f>
        <v>0</v>
      </c>
      <c r="H424" s="1">
        <f t="shared" si="246"/>
        <v>0</v>
      </c>
      <c r="I424" s="1">
        <f t="shared" si="246"/>
        <v>0</v>
      </c>
      <c r="J424" s="1">
        <f t="shared" si="246"/>
        <v>0.13514321883708086</v>
      </c>
      <c r="K424" s="1">
        <f t="shared" si="246"/>
        <v>1.7809574983879167E-4</v>
      </c>
    </row>
    <row r="425" spans="1:11" x14ac:dyDescent="0.35">
      <c r="A425" s="5"/>
      <c r="B425" s="5" t="str">
        <f t="shared" si="215"/>
        <v>SPS3</v>
      </c>
      <c r="C425" s="5" t="s">
        <v>7</v>
      </c>
      <c r="D425" t="s">
        <v>871</v>
      </c>
      <c r="E425" t="s">
        <v>8</v>
      </c>
      <c r="F425" s="1">
        <f>SUM(F426:F427)</f>
        <v>36.420498382313887</v>
      </c>
      <c r="G425" s="1">
        <f t="shared" ref="G425:K425" si="247">SUM(G426:G427)</f>
        <v>34.687828254326639</v>
      </c>
      <c r="H425" s="1">
        <f t="shared" si="247"/>
        <v>32.726156121292384</v>
      </c>
      <c r="I425" s="1">
        <f t="shared" si="247"/>
        <v>34.429053146763309</v>
      </c>
      <c r="J425" s="1">
        <f t="shared" si="247"/>
        <v>25.124149248658259</v>
      </c>
      <c r="K425" s="1">
        <f t="shared" si="247"/>
        <v>21.698725823920036</v>
      </c>
    </row>
    <row r="426" spans="1:11" x14ac:dyDescent="0.35">
      <c r="A426" s="5"/>
      <c r="B426" s="5" t="str">
        <f t="shared" si="215"/>
        <v>SPS3</v>
      </c>
      <c r="C426" s="5" t="s">
        <v>7</v>
      </c>
      <c r="D426" t="s">
        <v>193</v>
      </c>
      <c r="E426" t="s">
        <v>8</v>
      </c>
      <c r="F426" s="1">
        <f>'[1]Electricity and CHPs_IN'!B$26-F359</f>
        <v>36.420498382313887</v>
      </c>
      <c r="G426" s="1">
        <f>'[1]Electricity and CHPs_IN'!C$26-G359</f>
        <v>34.687828254326639</v>
      </c>
      <c r="H426" s="1">
        <f>'[1]Electricity and CHPs_IN'!D$26-H359</f>
        <v>32.726156121292384</v>
      </c>
      <c r="I426" s="1">
        <f>'[1]Electricity and CHPs_IN'!E$26-I359</f>
        <v>34.429053146763309</v>
      </c>
      <c r="J426" s="1">
        <f>'[1]Electricity and CHPs_IN'!F$26-J359</f>
        <v>25.123273794391704</v>
      </c>
      <c r="K426" s="1">
        <f>'[1]Electricity and CHPs_IN'!G$26-K359</f>
        <v>9.7364494017881231</v>
      </c>
    </row>
    <row r="427" spans="1:11" x14ac:dyDescent="0.35">
      <c r="A427" s="5"/>
      <c r="B427" s="5" t="str">
        <f t="shared" si="215"/>
        <v>SPS3</v>
      </c>
      <c r="C427" s="5" t="s">
        <v>7</v>
      </c>
      <c r="D427" t="s">
        <v>194</v>
      </c>
      <c r="E427" t="s">
        <v>8</v>
      </c>
      <c r="F427" s="1">
        <f>'[1]Electricity and CHPs_IN'!B$27-F360</f>
        <v>0</v>
      </c>
      <c r="G427" s="1">
        <f>'[1]Electricity and CHPs_IN'!C$27-G360</f>
        <v>0</v>
      </c>
      <c r="H427" s="1">
        <f>'[1]Electricity and CHPs_IN'!D$27-H360</f>
        <v>0</v>
      </c>
      <c r="I427" s="1">
        <f>'[1]Electricity and CHPs_IN'!E$27-I360</f>
        <v>0</v>
      </c>
      <c r="J427" s="1">
        <f>'[1]Electricity and CHPs_IN'!F$27-J360</f>
        <v>8.7545426655633312E-4</v>
      </c>
      <c r="K427" s="1">
        <f>'[1]Electricity and CHPs_IN'!G$27-K360</f>
        <v>11.962276422131914</v>
      </c>
    </row>
    <row r="428" spans="1:11" x14ac:dyDescent="0.35">
      <c r="A428" s="5"/>
      <c r="B428" s="5" t="str">
        <f t="shared" si="215"/>
        <v>SPS3</v>
      </c>
      <c r="C428" s="5" t="s">
        <v>7</v>
      </c>
      <c r="D428" t="s">
        <v>872</v>
      </c>
      <c r="E428" t="s">
        <v>8</v>
      </c>
      <c r="F428" s="1">
        <f>SUM(F429:F430)</f>
        <v>18.210249191156944</v>
      </c>
      <c r="G428" s="1">
        <f t="shared" ref="G428:K428" si="248">SUM(G429:G430)</f>
        <v>17.34391412716332</v>
      </c>
      <c r="H428" s="1">
        <f t="shared" si="248"/>
        <v>16.363078060646192</v>
      </c>
      <c r="I428" s="1">
        <f t="shared" si="248"/>
        <v>17.214526573381658</v>
      </c>
      <c r="J428" s="1">
        <f t="shared" si="248"/>
        <v>12.56207462432913</v>
      </c>
      <c r="K428" s="1">
        <f t="shared" si="248"/>
        <v>10.849362911960018</v>
      </c>
    </row>
    <row r="429" spans="1:11" x14ac:dyDescent="0.35">
      <c r="A429" s="5"/>
      <c r="B429" s="5" t="str">
        <f t="shared" si="215"/>
        <v>SPS3</v>
      </c>
      <c r="C429" s="5" t="s">
        <v>7</v>
      </c>
      <c r="D429" t="s">
        <v>195</v>
      </c>
      <c r="E429" t="s">
        <v>8</v>
      </c>
      <c r="F429" s="1">
        <f>IFERROR(F366/F359,0)*F426</f>
        <v>18.210249191156944</v>
      </c>
      <c r="G429" s="1">
        <f t="shared" ref="G429:K429" si="249">IFERROR(G366/G359,0)*G426</f>
        <v>17.34391412716332</v>
      </c>
      <c r="H429" s="1">
        <f t="shared" si="249"/>
        <v>16.363078060646192</v>
      </c>
      <c r="I429" s="1">
        <f t="shared" si="249"/>
        <v>17.214526573381658</v>
      </c>
      <c r="J429" s="1">
        <f t="shared" si="249"/>
        <v>12.561636897195852</v>
      </c>
      <c r="K429" s="1">
        <f t="shared" si="249"/>
        <v>4.8682247008940616</v>
      </c>
    </row>
    <row r="430" spans="1:11" x14ac:dyDescent="0.35">
      <c r="A430" s="5"/>
      <c r="B430" s="5" t="str">
        <f t="shared" si="215"/>
        <v>SPS3</v>
      </c>
      <c r="C430" s="5" t="s">
        <v>7</v>
      </c>
      <c r="D430" t="s">
        <v>196</v>
      </c>
      <c r="E430" t="s">
        <v>8</v>
      </c>
      <c r="F430" s="1">
        <f>IFERROR(F367/F360,0)*F427</f>
        <v>0</v>
      </c>
      <c r="G430" s="1">
        <f t="shared" ref="G430:K430" si="250">IFERROR(G367/G360,0)*G427</f>
        <v>0</v>
      </c>
      <c r="H430" s="1">
        <f t="shared" si="250"/>
        <v>0</v>
      </c>
      <c r="I430" s="1">
        <f t="shared" si="250"/>
        <v>0</v>
      </c>
      <c r="J430" s="1">
        <f t="shared" si="250"/>
        <v>4.3772713327816656E-4</v>
      </c>
      <c r="K430" s="1">
        <f t="shared" si="250"/>
        <v>5.9811382110659572</v>
      </c>
    </row>
    <row r="431" spans="1:11" x14ac:dyDescent="0.35">
      <c r="A431" s="5"/>
      <c r="B431" s="5" t="str">
        <f t="shared" si="215"/>
        <v>SPS3</v>
      </c>
      <c r="C431" s="5" t="s">
        <v>7</v>
      </c>
      <c r="D431" t="s">
        <v>873</v>
      </c>
      <c r="E431" t="s">
        <v>8</v>
      </c>
      <c r="F431" s="1">
        <f>SUM(F432:F433)</f>
        <v>18.210249191156944</v>
      </c>
      <c r="G431" s="1">
        <f t="shared" ref="G431:K431" si="251">SUM(G432:G433)</f>
        <v>17.34391412716332</v>
      </c>
      <c r="H431" s="1">
        <f t="shared" si="251"/>
        <v>16.363078060646192</v>
      </c>
      <c r="I431" s="1">
        <f t="shared" si="251"/>
        <v>17.214526573381651</v>
      </c>
      <c r="J431" s="1">
        <f t="shared" si="251"/>
        <v>12.56207462432913</v>
      </c>
      <c r="K431" s="1">
        <f t="shared" si="251"/>
        <v>10.849362911960018</v>
      </c>
    </row>
    <row r="432" spans="1:11" x14ac:dyDescent="0.35">
      <c r="A432" s="5"/>
      <c r="B432" s="5" t="str">
        <f t="shared" si="215"/>
        <v>SPS3</v>
      </c>
      <c r="C432" s="5" t="s">
        <v>7</v>
      </c>
      <c r="D432" t="s">
        <v>197</v>
      </c>
      <c r="E432" t="s">
        <v>8</v>
      </c>
      <c r="F432" s="1">
        <f>F426-F429</f>
        <v>18.210249191156944</v>
      </c>
      <c r="G432" s="1">
        <f t="shared" ref="G432:K432" si="252">G426-G429</f>
        <v>17.34391412716332</v>
      </c>
      <c r="H432" s="1">
        <f t="shared" si="252"/>
        <v>16.363078060646192</v>
      </c>
      <c r="I432" s="1">
        <f t="shared" si="252"/>
        <v>17.214526573381651</v>
      </c>
      <c r="J432" s="1">
        <f t="shared" si="252"/>
        <v>12.561636897195852</v>
      </c>
      <c r="K432" s="1">
        <f t="shared" si="252"/>
        <v>4.8682247008940616</v>
      </c>
    </row>
    <row r="433" spans="1:11" x14ac:dyDescent="0.35">
      <c r="A433" s="5"/>
      <c r="B433" s="5" t="str">
        <f t="shared" si="215"/>
        <v>SPS3</v>
      </c>
      <c r="C433" s="5" t="s">
        <v>7</v>
      </c>
      <c r="D433" t="s">
        <v>198</v>
      </c>
      <c r="E433" t="s">
        <v>8</v>
      </c>
      <c r="F433" s="1">
        <f>F427-F430</f>
        <v>0</v>
      </c>
      <c r="G433" s="1">
        <f t="shared" ref="G433:K433" si="253">G427-G430</f>
        <v>0</v>
      </c>
      <c r="H433" s="1">
        <f t="shared" si="253"/>
        <v>0</v>
      </c>
      <c r="I433" s="1">
        <f t="shared" si="253"/>
        <v>0</v>
      </c>
      <c r="J433" s="1">
        <f t="shared" si="253"/>
        <v>4.3772713327816656E-4</v>
      </c>
      <c r="K433" s="1">
        <f t="shared" si="253"/>
        <v>5.9811382110659572</v>
      </c>
    </row>
    <row r="434" spans="1:11" x14ac:dyDescent="0.35">
      <c r="A434" s="5"/>
      <c r="B434" s="5" t="str">
        <f t="shared" si="215"/>
        <v>SPS3</v>
      </c>
      <c r="C434" s="5" t="s">
        <v>7</v>
      </c>
      <c r="D434" t="s">
        <v>874</v>
      </c>
      <c r="E434" t="s">
        <v>8</v>
      </c>
      <c r="F434" s="1">
        <f>F435</f>
        <v>8.3170672168418162E-3</v>
      </c>
      <c r="G434" s="1">
        <f t="shared" ref="G434:K434" si="254">G435</f>
        <v>4.0423074280075161E-2</v>
      </c>
      <c r="H434" s="1">
        <f t="shared" si="254"/>
        <v>5.6404435011075203E-3</v>
      </c>
      <c r="I434" s="1">
        <f t="shared" si="254"/>
        <v>2.073132753831155</v>
      </c>
      <c r="J434" s="1">
        <f t="shared" si="254"/>
        <v>2.5639795762345998</v>
      </c>
      <c r="K434" s="1">
        <f t="shared" si="254"/>
        <v>3.1337424235047244</v>
      </c>
    </row>
    <row r="435" spans="1:11" x14ac:dyDescent="0.35">
      <c r="A435" s="5"/>
      <c r="B435" s="5" t="str">
        <f t="shared" si="215"/>
        <v>SPS3</v>
      </c>
      <c r="C435" s="5" t="s">
        <v>7</v>
      </c>
      <c r="D435" t="s">
        <v>199</v>
      </c>
      <c r="E435" t="s">
        <v>8</v>
      </c>
      <c r="F435" s="1">
        <f>'[1]Electricity and CHPs_IN'!B$25-F378</f>
        <v>8.3170672168418162E-3</v>
      </c>
      <c r="G435" s="1">
        <f>'[1]Electricity and CHPs_IN'!C$25-G378</f>
        <v>4.0423074280075161E-2</v>
      </c>
      <c r="H435" s="1">
        <f>'[1]Electricity and CHPs_IN'!D$25-H378</f>
        <v>5.6404435011075203E-3</v>
      </c>
      <c r="I435" s="1">
        <f>'[1]Electricity and CHPs_IN'!E$25-I378</f>
        <v>2.073132753831155</v>
      </c>
      <c r="J435" s="1">
        <f>'[1]Electricity and CHPs_IN'!F$25-J378</f>
        <v>2.5639795762345998</v>
      </c>
      <c r="K435" s="1">
        <f>'[1]Electricity and CHPs_IN'!G$25-K378</f>
        <v>3.1337424235047244</v>
      </c>
    </row>
    <row r="436" spans="1:11" x14ac:dyDescent="0.35">
      <c r="A436" s="5"/>
      <c r="B436" s="5" t="str">
        <f t="shared" ref="B436:B499" si="255">B435</f>
        <v>SPS3</v>
      </c>
      <c r="C436" s="5" t="s">
        <v>7</v>
      </c>
      <c r="D436" t="s">
        <v>875</v>
      </c>
      <c r="E436" t="s">
        <v>8</v>
      </c>
      <c r="F436" s="1">
        <f>+F437</f>
        <v>0</v>
      </c>
      <c r="G436" s="1">
        <f t="shared" ref="G436:K436" si="256">+G437</f>
        <v>0</v>
      </c>
      <c r="H436" s="1">
        <f t="shared" si="256"/>
        <v>0</v>
      </c>
      <c r="I436" s="1">
        <f t="shared" si="256"/>
        <v>0</v>
      </c>
      <c r="J436" s="1">
        <f t="shared" si="256"/>
        <v>1.2791434512730013E-3</v>
      </c>
      <c r="K436" s="1">
        <f t="shared" si="256"/>
        <v>1.3000280930248519E-3</v>
      </c>
    </row>
    <row r="437" spans="1:11" x14ac:dyDescent="0.35">
      <c r="A437" s="5"/>
      <c r="B437" s="5" t="str">
        <f t="shared" si="255"/>
        <v>SPS3</v>
      </c>
      <c r="C437" s="5" t="s">
        <v>7</v>
      </c>
      <c r="D437" t="s">
        <v>200</v>
      </c>
      <c r="E437" t="s">
        <v>8</v>
      </c>
      <c r="F437" s="1">
        <f>'[1]Electricity and CHPs_IN'!B$30-F396</f>
        <v>0</v>
      </c>
      <c r="G437" s="1">
        <f>'[1]Electricity and CHPs_IN'!C$30-G396</f>
        <v>0</v>
      </c>
      <c r="H437" s="1">
        <f>'[1]Electricity and CHPs_IN'!D$30-H396</f>
        <v>0</v>
      </c>
      <c r="I437" s="1">
        <f>'[1]Electricity and CHPs_IN'!E$30-I396</f>
        <v>0</v>
      </c>
      <c r="J437" s="1">
        <f>'[1]Electricity and CHPs_IN'!F$30-J396</f>
        <v>1.2791434512730013E-3</v>
      </c>
      <c r="K437" s="1">
        <f>'[1]Electricity and CHPs_IN'!G$30-K396</f>
        <v>1.3000280930248519E-3</v>
      </c>
    </row>
    <row r="438" spans="1:11" x14ac:dyDescent="0.35">
      <c r="A438" s="5"/>
      <c r="B438" s="5" t="str">
        <f t="shared" si="255"/>
        <v>SPS3</v>
      </c>
      <c r="C438" s="5" t="s">
        <v>7</v>
      </c>
      <c r="D438" t="s">
        <v>876</v>
      </c>
      <c r="E438" t="str">
        <f>E393</f>
        <v>PJ/yr.</v>
      </c>
      <c r="F438" s="1">
        <f>SUM(F439,F445,F447,F453,F455,F457,F459)</f>
        <v>9.2077470459382624</v>
      </c>
      <c r="G438" s="1">
        <f t="shared" ref="G438:K438" si="257">SUM(G439,G445,G447,G453,G455,G457,G459)</f>
        <v>13.013380647156659</v>
      </c>
      <c r="H438" s="1">
        <f t="shared" si="257"/>
        <v>11.919146938441587</v>
      </c>
      <c r="I438" s="1">
        <f t="shared" si="257"/>
        <v>14.491216007443068</v>
      </c>
      <c r="J438" s="1">
        <f t="shared" si="257"/>
        <v>12.09744892471261</v>
      </c>
      <c r="K438" s="1">
        <f t="shared" si="257"/>
        <v>12.496683023162365</v>
      </c>
    </row>
    <row r="439" spans="1:11" x14ac:dyDescent="0.35">
      <c r="A439" s="5"/>
      <c r="B439" s="5" t="str">
        <f t="shared" si="255"/>
        <v>SPS3</v>
      </c>
      <c r="C439" s="5" t="s">
        <v>7</v>
      </c>
      <c r="D439" t="s">
        <v>877</v>
      </c>
      <c r="E439" t="str">
        <f>E396</f>
        <v>PJ/yr.</v>
      </c>
      <c r="F439" s="1">
        <f>+F440</f>
        <v>4.3961294287348789</v>
      </c>
      <c r="G439" s="1">
        <f t="shared" ref="G439:K439" si="258">+G440</f>
        <v>5.1263472537301302</v>
      </c>
      <c r="H439" s="1">
        <f t="shared" si="258"/>
        <v>5.1211446328641692</v>
      </c>
      <c r="I439" s="1">
        <f t="shared" si="258"/>
        <v>9.7031597654233011</v>
      </c>
      <c r="J439" s="1">
        <f t="shared" si="258"/>
        <v>5.6795694029970818</v>
      </c>
      <c r="K439" s="1">
        <f t="shared" si="258"/>
        <v>3.2724348120759936</v>
      </c>
    </row>
    <row r="440" spans="1:11" x14ac:dyDescent="0.35">
      <c r="A440" s="5"/>
      <c r="B440" s="5" t="str">
        <f t="shared" si="255"/>
        <v>SPS3</v>
      </c>
      <c r="C440" s="5" t="s">
        <v>7</v>
      </c>
      <c r="D440" t="s">
        <v>201</v>
      </c>
      <c r="E440" t="str">
        <f>E397</f>
        <v>PJ/yr.</v>
      </c>
      <c r="F440" s="1">
        <f>SUM(F442:F444)</f>
        <v>4.3961294287348789</v>
      </c>
      <c r="G440" s="1">
        <f t="shared" ref="G440:K440" si="259">SUM(G442:G444)</f>
        <v>5.1263472537301302</v>
      </c>
      <c r="H440" s="1">
        <f t="shared" si="259"/>
        <v>5.1211446328641692</v>
      </c>
      <c r="I440" s="1">
        <f t="shared" si="259"/>
        <v>9.7031597654233011</v>
      </c>
      <c r="J440" s="1">
        <f t="shared" si="259"/>
        <v>5.6795694029970818</v>
      </c>
      <c r="K440" s="1">
        <f t="shared" si="259"/>
        <v>3.2724348120759936</v>
      </c>
    </row>
    <row r="441" spans="1:11" x14ac:dyDescent="0.35">
      <c r="A441" s="5"/>
      <c r="B441" s="5" t="str">
        <f t="shared" si="255"/>
        <v>SPS3</v>
      </c>
      <c r="C441" s="5" t="s">
        <v>7</v>
      </c>
      <c r="D441" t="s">
        <v>878</v>
      </c>
      <c r="E441" t="str">
        <f>E396</f>
        <v>PJ/yr.</v>
      </c>
      <c r="F441" s="1">
        <f>F442</f>
        <v>2.0281095538604341</v>
      </c>
      <c r="G441" s="1">
        <f t="shared" ref="G441:K441" si="260">G442</f>
        <v>2.7584194499106163</v>
      </c>
      <c r="H441" s="1">
        <f t="shared" si="260"/>
        <v>2.7531129651745889</v>
      </c>
      <c r="I441" s="1">
        <f t="shared" si="260"/>
        <v>6.4306731838484055</v>
      </c>
      <c r="J441" s="1">
        <f t="shared" si="260"/>
        <v>2.4071095417229547</v>
      </c>
      <c r="K441" s="1">
        <f t="shared" si="260"/>
        <v>1.6022741071357149E-5</v>
      </c>
    </row>
    <row r="442" spans="1:11" x14ac:dyDescent="0.35">
      <c r="A442" s="5"/>
      <c r="B442" s="5" t="str">
        <f t="shared" si="255"/>
        <v>SPS3</v>
      </c>
      <c r="C442" s="5" t="s">
        <v>7</v>
      </c>
      <c r="D442" t="s">
        <v>596</v>
      </c>
      <c r="E442" t="str">
        <f>E397</f>
        <v>PJ/yr.</v>
      </c>
      <c r="F442" s="1">
        <f>'[1]Electricity and CHPs_IN'!B$90</f>
        <v>2.0281095538604341</v>
      </c>
      <c r="G442" s="1">
        <f>'[1]Electricity and CHPs_IN'!C$90</f>
        <v>2.7584194499106163</v>
      </c>
      <c r="H442" s="1">
        <f>'[1]Electricity and CHPs_IN'!D$90</f>
        <v>2.7531129651745889</v>
      </c>
      <c r="I442" s="1">
        <f>'[1]Electricity and CHPs_IN'!E$90</f>
        <v>6.4306731838484055</v>
      </c>
      <c r="J442" s="1">
        <f>'[1]Electricity and CHPs_IN'!F$90</f>
        <v>2.4071095417229547</v>
      </c>
      <c r="K442" s="1">
        <f>'[1]Electricity and CHPs_IN'!G$90</f>
        <v>1.6022741071357149E-5</v>
      </c>
    </row>
    <row r="443" spans="1:11" x14ac:dyDescent="0.35">
      <c r="A443" s="5"/>
      <c r="B443" s="5" t="str">
        <f t="shared" si="255"/>
        <v>SPS3</v>
      </c>
      <c r="C443" s="5" t="s">
        <v>7</v>
      </c>
      <c r="D443" t="s">
        <v>879</v>
      </c>
      <c r="E443" t="str">
        <f>E397</f>
        <v>PJ/yr.</v>
      </c>
      <c r="F443" s="1">
        <f>F444</f>
        <v>1.1840099374372226</v>
      </c>
      <c r="G443" s="1">
        <f t="shared" ref="G443:K443" si="261">G444</f>
        <v>1.183963901909757</v>
      </c>
      <c r="H443" s="1">
        <f t="shared" si="261"/>
        <v>1.1840158338447899</v>
      </c>
      <c r="I443" s="1">
        <f t="shared" si="261"/>
        <v>1.6362432907874476</v>
      </c>
      <c r="J443" s="1">
        <f t="shared" si="261"/>
        <v>1.6362299306370638</v>
      </c>
      <c r="K443" s="1">
        <f t="shared" si="261"/>
        <v>1.6362093946674612</v>
      </c>
    </row>
    <row r="444" spans="1:11" x14ac:dyDescent="0.35">
      <c r="A444" s="5"/>
      <c r="B444" s="5" t="str">
        <f t="shared" si="255"/>
        <v>SPS3</v>
      </c>
      <c r="C444" s="5" t="s">
        <v>7</v>
      </c>
      <c r="D444" t="s">
        <v>657</v>
      </c>
      <c r="E444" t="str">
        <f>E398</f>
        <v>PJ/yr.</v>
      </c>
      <c r="F444" s="1">
        <f>'[1]Electricity and CHPs_IN'!B$91</f>
        <v>1.1840099374372226</v>
      </c>
      <c r="G444" s="1">
        <f>'[1]Electricity and CHPs_IN'!C$91</f>
        <v>1.183963901909757</v>
      </c>
      <c r="H444" s="1">
        <f>'[1]Electricity and CHPs_IN'!D$91</f>
        <v>1.1840158338447899</v>
      </c>
      <c r="I444" s="1">
        <f>'[1]Electricity and CHPs_IN'!E$91</f>
        <v>1.6362432907874476</v>
      </c>
      <c r="J444" s="1">
        <f>'[1]Electricity and CHPs_IN'!F$91</f>
        <v>1.6362299306370638</v>
      </c>
      <c r="K444" s="1">
        <f>'[1]Electricity and CHPs_IN'!G$91</f>
        <v>1.6362093946674612</v>
      </c>
    </row>
    <row r="445" spans="1:11" x14ac:dyDescent="0.35">
      <c r="A445" s="5"/>
      <c r="B445" s="5" t="str">
        <f t="shared" si="255"/>
        <v>SPS3</v>
      </c>
      <c r="C445" s="5" t="s">
        <v>7</v>
      </c>
      <c r="D445" t="s">
        <v>880</v>
      </c>
      <c r="E445" t="str">
        <f>E398</f>
        <v>PJ/yr.</v>
      </c>
      <c r="F445" s="1">
        <f>F446</f>
        <v>1.4500617813936036</v>
      </c>
      <c r="G445" s="1">
        <f t="shared" ref="G445:K445" si="262">G446</f>
        <v>3.8019469359038429</v>
      </c>
      <c r="H445" s="1">
        <f t="shared" si="262"/>
        <v>3.2982445456783847</v>
      </c>
      <c r="I445" s="1">
        <f t="shared" si="262"/>
        <v>0.85652859757509403</v>
      </c>
      <c r="J445" s="1">
        <f t="shared" si="262"/>
        <v>0</v>
      </c>
      <c r="K445" s="1">
        <f t="shared" si="262"/>
        <v>0</v>
      </c>
    </row>
    <row r="446" spans="1:11" x14ac:dyDescent="0.35">
      <c r="A446" s="5"/>
      <c r="B446" s="5" t="str">
        <f t="shared" si="255"/>
        <v>SPS3</v>
      </c>
      <c r="C446" s="5" t="s">
        <v>7</v>
      </c>
      <c r="D446" t="s">
        <v>202</v>
      </c>
      <c r="E446" t="str">
        <f>E399</f>
        <v>PJ/yr.</v>
      </c>
      <c r="F446" s="1">
        <f>'[1]Electricity and CHPs_IN'!B$92</f>
        <v>1.4500617813936036</v>
      </c>
      <c r="G446" s="1">
        <f>'[1]Electricity and CHPs_IN'!C$92</f>
        <v>3.8019469359038429</v>
      </c>
      <c r="H446" s="1">
        <f>'[1]Electricity and CHPs_IN'!D$92</f>
        <v>3.2982445456783847</v>
      </c>
      <c r="I446" s="1">
        <f>'[1]Electricity and CHPs_IN'!E$92</f>
        <v>0.85652859757509403</v>
      </c>
      <c r="J446" s="1">
        <f>'[1]Electricity and CHPs_IN'!F$92</f>
        <v>0</v>
      </c>
      <c r="K446" s="1">
        <f>'[1]Electricity and CHPs_IN'!G$92</f>
        <v>0</v>
      </c>
    </row>
    <row r="447" spans="1:11" x14ac:dyDescent="0.35">
      <c r="A447" s="5"/>
      <c r="B447" s="5" t="str">
        <f t="shared" si="255"/>
        <v>SPS3</v>
      </c>
      <c r="C447" s="5" t="s">
        <v>7</v>
      </c>
      <c r="D447" t="s">
        <v>881</v>
      </c>
      <c r="E447" t="str">
        <f>E399</f>
        <v>PJ/yr.</v>
      </c>
      <c r="F447" s="1">
        <f>F448</f>
        <v>0.21547039291169809</v>
      </c>
      <c r="G447" s="1">
        <f t="shared" ref="G447:K447" si="263">G448</f>
        <v>0.21745525523290485</v>
      </c>
      <c r="H447" s="1">
        <f t="shared" si="263"/>
        <v>5.9088978843404114E-3</v>
      </c>
      <c r="I447" s="1">
        <f t="shared" si="263"/>
        <v>3.3685367409350792E-4</v>
      </c>
      <c r="J447" s="1">
        <f t="shared" si="263"/>
        <v>9.0161558141635563E-5</v>
      </c>
      <c r="K447" s="1">
        <f t="shared" si="263"/>
        <v>8.6318391608437683E-6</v>
      </c>
    </row>
    <row r="448" spans="1:11" x14ac:dyDescent="0.35">
      <c r="A448" s="5"/>
      <c r="B448" s="5" t="str">
        <f t="shared" si="255"/>
        <v>SPS3</v>
      </c>
      <c r="C448" s="5" t="s">
        <v>7</v>
      </c>
      <c r="D448" t="s">
        <v>203</v>
      </c>
      <c r="E448" t="str">
        <f>E400</f>
        <v>PJ/yr.</v>
      </c>
      <c r="F448" s="1">
        <f>'[1]Electricity and CHPs_IN'!B$93</f>
        <v>0.21547039291169809</v>
      </c>
      <c r="G448" s="1">
        <f>'[1]Electricity and CHPs_IN'!C$93</f>
        <v>0.21745525523290485</v>
      </c>
      <c r="H448" s="1">
        <f>'[1]Electricity and CHPs_IN'!D$93</f>
        <v>5.9088978843404114E-3</v>
      </c>
      <c r="I448" s="1">
        <f>'[1]Electricity and CHPs_IN'!E$93</f>
        <v>3.3685367409350792E-4</v>
      </c>
      <c r="J448" s="1">
        <f>'[1]Electricity and CHPs_IN'!F$93</f>
        <v>9.0161558141635563E-5</v>
      </c>
      <c r="K448" s="1">
        <f>'[1]Electricity and CHPs_IN'!G$93</f>
        <v>8.6318391608437683E-6</v>
      </c>
    </row>
    <row r="449" spans="1:11" x14ac:dyDescent="0.35">
      <c r="A449" s="5"/>
      <c r="B449" s="5" t="str">
        <f t="shared" si="255"/>
        <v>SPS3</v>
      </c>
      <c r="C449" s="5" t="s">
        <v>7</v>
      </c>
      <c r="D449" t="s">
        <v>883</v>
      </c>
      <c r="E449" t="str">
        <f>E399</f>
        <v>PJ/yr.</v>
      </c>
      <c r="F449" s="1">
        <f>F450</f>
        <v>0.21547039291169809</v>
      </c>
      <c r="G449" s="1">
        <f t="shared" ref="G449:K449" si="264">G450</f>
        <v>0.21745525523290485</v>
      </c>
      <c r="H449" s="1">
        <f t="shared" si="264"/>
        <v>5.9088978843404114E-3</v>
      </c>
      <c r="I449" s="1">
        <f t="shared" si="264"/>
        <v>3.3685367409350792E-4</v>
      </c>
      <c r="J449" s="1">
        <f t="shared" si="264"/>
        <v>9.0161558141635563E-5</v>
      </c>
      <c r="K449" s="1">
        <f t="shared" si="264"/>
        <v>8.6318391608437683E-6</v>
      </c>
    </row>
    <row r="450" spans="1:11" x14ac:dyDescent="0.35">
      <c r="A450" s="5"/>
      <c r="B450" s="5" t="str">
        <f t="shared" si="255"/>
        <v>SPS3</v>
      </c>
      <c r="C450" s="5" t="s">
        <v>7</v>
      </c>
      <c r="D450" t="s">
        <v>882</v>
      </c>
      <c r="E450" t="str">
        <f>E400</f>
        <v>PJ/yr.</v>
      </c>
      <c r="F450" s="1">
        <f>F448</f>
        <v>0.21547039291169809</v>
      </c>
      <c r="G450" s="1">
        <f t="shared" ref="G450:K450" si="265">G448</f>
        <v>0.21745525523290485</v>
      </c>
      <c r="H450" s="1">
        <f t="shared" si="265"/>
        <v>5.9088978843404114E-3</v>
      </c>
      <c r="I450" s="1">
        <f t="shared" si="265"/>
        <v>3.3685367409350792E-4</v>
      </c>
      <c r="J450" s="1">
        <f t="shared" si="265"/>
        <v>9.0161558141635563E-5</v>
      </c>
      <c r="K450" s="1">
        <f t="shared" si="265"/>
        <v>8.6318391608437683E-6</v>
      </c>
    </row>
    <row r="451" spans="1:11" x14ac:dyDescent="0.35">
      <c r="A451" s="5"/>
      <c r="B451" s="5" t="str">
        <f t="shared" si="255"/>
        <v>SPS3</v>
      </c>
      <c r="C451" s="5" t="s">
        <v>7</v>
      </c>
      <c r="D451" t="s">
        <v>885</v>
      </c>
      <c r="E451" t="str">
        <f>E400</f>
        <v>PJ/yr.</v>
      </c>
      <c r="F451" s="1">
        <f>F452</f>
        <v>0</v>
      </c>
      <c r="G451" s="1">
        <f t="shared" ref="G451:K451" si="266">G452</f>
        <v>0</v>
      </c>
      <c r="H451" s="1">
        <f t="shared" si="266"/>
        <v>0</v>
      </c>
      <c r="I451" s="1">
        <f t="shared" si="266"/>
        <v>0</v>
      </c>
      <c r="J451" s="1">
        <f t="shared" si="266"/>
        <v>0</v>
      </c>
      <c r="K451" s="1">
        <f t="shared" si="266"/>
        <v>0</v>
      </c>
    </row>
    <row r="452" spans="1:11" x14ac:dyDescent="0.35">
      <c r="A452" s="5"/>
      <c r="B452" s="5" t="str">
        <f t="shared" si="255"/>
        <v>SPS3</v>
      </c>
      <c r="C452" s="5" t="s">
        <v>7</v>
      </c>
      <c r="D452" t="s">
        <v>884</v>
      </c>
      <c r="E452" t="str">
        <f>E401</f>
        <v>PJ/yr.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</row>
    <row r="453" spans="1:11" x14ac:dyDescent="0.35">
      <c r="A453" s="5"/>
      <c r="B453" s="5" t="str">
        <f t="shared" si="255"/>
        <v>SPS3</v>
      </c>
      <c r="C453" s="5" t="s">
        <v>7</v>
      </c>
      <c r="D453" t="s">
        <v>886</v>
      </c>
      <c r="E453" t="str">
        <f>E400</f>
        <v>PJ/yr.</v>
      </c>
      <c r="F453" s="1">
        <f>F454</f>
        <v>3.146085442898082</v>
      </c>
      <c r="G453" s="1">
        <f t="shared" ref="G453:K453" si="267">G454</f>
        <v>2.8393336608459734</v>
      </c>
      <c r="H453" s="1">
        <f t="shared" si="267"/>
        <v>2.4343921488392515</v>
      </c>
      <c r="I453" s="1">
        <f t="shared" si="267"/>
        <v>1.883688568161817</v>
      </c>
      <c r="J453" s="1">
        <f t="shared" si="267"/>
        <v>1.1278366418455199</v>
      </c>
      <c r="K453" s="1">
        <f t="shared" si="267"/>
        <v>0.67529111407440523</v>
      </c>
    </row>
    <row r="454" spans="1:11" x14ac:dyDescent="0.35">
      <c r="A454" s="5"/>
      <c r="B454" s="5" t="str">
        <f t="shared" si="255"/>
        <v>SPS3</v>
      </c>
      <c r="C454" s="5" t="s">
        <v>7</v>
      </c>
      <c r="D454" t="s">
        <v>204</v>
      </c>
      <c r="E454" t="str">
        <f>E401</f>
        <v>PJ/yr.</v>
      </c>
      <c r="F454" s="1">
        <f>'[1]Electricity and CHPs_IN'!B$94</f>
        <v>3.146085442898082</v>
      </c>
      <c r="G454" s="1">
        <f>'[1]Electricity and CHPs_IN'!C$94</f>
        <v>2.8393336608459734</v>
      </c>
      <c r="H454" s="1">
        <f>'[1]Electricity and CHPs_IN'!D$94</f>
        <v>2.4343921488392515</v>
      </c>
      <c r="I454" s="1">
        <f>'[1]Electricity and CHPs_IN'!E$94</f>
        <v>1.883688568161817</v>
      </c>
      <c r="J454" s="1">
        <f>'[1]Electricity and CHPs_IN'!F$94</f>
        <v>1.1278366418455199</v>
      </c>
      <c r="K454" s="1">
        <f>'[1]Electricity and CHPs_IN'!G$94</f>
        <v>0.67529111407440523</v>
      </c>
    </row>
    <row r="455" spans="1:11" x14ac:dyDescent="0.35">
      <c r="A455" s="5"/>
      <c r="B455" s="5" t="str">
        <f t="shared" si="255"/>
        <v>SPS3</v>
      </c>
      <c r="C455" s="5" t="s">
        <v>7</v>
      </c>
      <c r="D455" t="s">
        <v>887</v>
      </c>
      <c r="E455" t="str">
        <f>E401</f>
        <v>PJ/yr.</v>
      </c>
      <c r="F455" s="1">
        <f>F456</f>
        <v>0</v>
      </c>
      <c r="G455" s="1">
        <f t="shared" ref="G455:K455" si="268">G456</f>
        <v>0</v>
      </c>
      <c r="H455" s="1">
        <f t="shared" si="268"/>
        <v>0</v>
      </c>
      <c r="I455" s="1">
        <f t="shared" si="268"/>
        <v>0</v>
      </c>
      <c r="J455" s="1">
        <f t="shared" si="268"/>
        <v>0</v>
      </c>
      <c r="K455" s="1">
        <f t="shared" si="268"/>
        <v>0</v>
      </c>
    </row>
    <row r="456" spans="1:11" x14ac:dyDescent="0.35">
      <c r="A456" s="5"/>
      <c r="B456" s="5" t="str">
        <f t="shared" si="255"/>
        <v>SPS3</v>
      </c>
      <c r="C456" s="5" t="s">
        <v>7</v>
      </c>
      <c r="D456" t="s">
        <v>205</v>
      </c>
      <c r="E456" t="str">
        <f>E402</f>
        <v>PJ/yr.</v>
      </c>
      <c r="F456" s="1">
        <f>'[1]Electricity and CHPs_IN'!B$95</f>
        <v>0</v>
      </c>
      <c r="G456" s="1">
        <f>'[1]Electricity and CHPs_IN'!C$95</f>
        <v>0</v>
      </c>
      <c r="H456" s="1">
        <f>'[1]Electricity and CHPs_IN'!D$95</f>
        <v>0</v>
      </c>
      <c r="I456" s="1">
        <f>'[1]Electricity and CHPs_IN'!E$95</f>
        <v>0</v>
      </c>
      <c r="J456" s="1">
        <f>'[1]Electricity and CHPs_IN'!F$95</f>
        <v>0</v>
      </c>
      <c r="K456" s="1">
        <f>'[1]Electricity and CHPs_IN'!G$95</f>
        <v>0</v>
      </c>
    </row>
    <row r="457" spans="1:11" x14ac:dyDescent="0.35">
      <c r="A457" s="5"/>
      <c r="B457" s="5" t="str">
        <f t="shared" si="255"/>
        <v>SPS3</v>
      </c>
      <c r="C457" s="5" t="s">
        <v>7</v>
      </c>
      <c r="D457" t="s">
        <v>888</v>
      </c>
      <c r="E457" t="str">
        <f>E402</f>
        <v>PJ/yr.</v>
      </c>
      <c r="F457" s="1">
        <f>F458</f>
        <v>0</v>
      </c>
      <c r="G457" s="1">
        <f t="shared" ref="G457:K457" si="269">G458</f>
        <v>0</v>
      </c>
      <c r="H457" s="1">
        <f t="shared" si="269"/>
        <v>0</v>
      </c>
      <c r="I457" s="1">
        <f t="shared" si="269"/>
        <v>0</v>
      </c>
      <c r="J457" s="1">
        <f t="shared" si="269"/>
        <v>3.0282377705697998</v>
      </c>
      <c r="K457" s="1">
        <f t="shared" si="269"/>
        <v>6.050609652151496</v>
      </c>
    </row>
    <row r="458" spans="1:11" x14ac:dyDescent="0.35">
      <c r="A458" s="5"/>
      <c r="B458" s="5" t="str">
        <f t="shared" si="255"/>
        <v>SPS3</v>
      </c>
      <c r="C458" s="5" t="s">
        <v>7</v>
      </c>
      <c r="D458" t="s">
        <v>232</v>
      </c>
      <c r="E458" t="str">
        <f>E403</f>
        <v>PJ/yr.</v>
      </c>
      <c r="F458" s="1">
        <f>'[1]Electricity and CHPs_IN'!B$96</f>
        <v>0</v>
      </c>
      <c r="G458" s="1">
        <f>'[1]Electricity and CHPs_IN'!C$96</f>
        <v>0</v>
      </c>
      <c r="H458" s="1">
        <f>'[1]Electricity and CHPs_IN'!D$96</f>
        <v>0</v>
      </c>
      <c r="I458" s="1">
        <f>'[1]Electricity and CHPs_IN'!E$96</f>
        <v>0</v>
      </c>
      <c r="J458" s="1">
        <f>'[1]Electricity and CHPs_IN'!F$96</f>
        <v>3.0282377705697998</v>
      </c>
      <c r="K458" s="1">
        <f>'[1]Electricity and CHPs_IN'!G$96</f>
        <v>6.050609652151496</v>
      </c>
    </row>
    <row r="459" spans="1:11" x14ac:dyDescent="0.35">
      <c r="A459" s="5"/>
      <c r="B459" s="5" t="str">
        <f t="shared" si="255"/>
        <v>SPS3</v>
      </c>
      <c r="C459" s="5" t="s">
        <v>7</v>
      </c>
      <c r="D459" t="s">
        <v>889</v>
      </c>
      <c r="E459" t="str">
        <f>E402</f>
        <v>PJ/yr.</v>
      </c>
      <c r="F459" s="1">
        <f>F460</f>
        <v>0</v>
      </c>
      <c r="G459" s="1">
        <f t="shared" ref="G459" si="270">G460</f>
        <v>1.0282975414438067</v>
      </c>
      <c r="H459" s="1">
        <f>H460</f>
        <v>1.0594567131754415</v>
      </c>
      <c r="I459" s="1">
        <f t="shared" ref="I459" si="271">I460</f>
        <v>2.0475022226087605</v>
      </c>
      <c r="J459" s="1">
        <f t="shared" ref="J459" si="272">J460</f>
        <v>2.2617149477420675</v>
      </c>
      <c r="K459" s="1">
        <f t="shared" ref="K459" si="273">K460</f>
        <v>2.4983388130213089</v>
      </c>
    </row>
    <row r="460" spans="1:11" x14ac:dyDescent="0.35">
      <c r="A460" s="5"/>
      <c r="B460" s="5" t="str">
        <f t="shared" si="255"/>
        <v>SPS3</v>
      </c>
      <c r="C460" s="5" t="s">
        <v>7</v>
      </c>
      <c r="D460" t="s">
        <v>890</v>
      </c>
      <c r="E460" t="str">
        <f>E403</f>
        <v>PJ/yr.</v>
      </c>
      <c r="F460" s="1">
        <f>'[1]Electricity and CHPs_IN'!B$97</f>
        <v>0</v>
      </c>
      <c r="G460" s="1">
        <f>'[1]Electricity and CHPs_IN'!C$97</f>
        <v>1.0282975414438067</v>
      </c>
      <c r="H460" s="1">
        <f>'[1]Electricity and CHPs_IN'!D$97</f>
        <v>1.0594567131754415</v>
      </c>
      <c r="I460" s="1">
        <f>'[1]Electricity and CHPs_IN'!E$97</f>
        <v>2.0475022226087605</v>
      </c>
      <c r="J460" s="1">
        <f>'[1]Electricity and CHPs_IN'!F$97</f>
        <v>2.2617149477420675</v>
      </c>
      <c r="K460" s="1">
        <f>'[1]Electricity and CHPs_IN'!G$97</f>
        <v>2.4983388130213089</v>
      </c>
    </row>
    <row r="461" spans="1:11" x14ac:dyDescent="0.35">
      <c r="A461" s="5"/>
      <c r="B461" s="5" t="str">
        <f t="shared" si="255"/>
        <v>SPS3</v>
      </c>
      <c r="C461" s="5" t="s">
        <v>7</v>
      </c>
      <c r="D461" t="s">
        <v>891</v>
      </c>
      <c r="E461" t="str">
        <f>E397</f>
        <v>PJ/yr.</v>
      </c>
      <c r="F461" s="1">
        <f>SUM(F462,F468,F501,F510,F516)</f>
        <v>7.9950558259835951</v>
      </c>
      <c r="G461" s="1">
        <f t="shared" ref="G461:K461" si="274">SUM(G462,G468,G501,G510,G516)</f>
        <v>8.0391366550473826</v>
      </c>
      <c r="H461" s="1">
        <f t="shared" si="274"/>
        <v>10.580748777456193</v>
      </c>
      <c r="I461" s="1">
        <f t="shared" si="274"/>
        <v>15.859418766427963</v>
      </c>
      <c r="J461" s="1">
        <f t="shared" si="274"/>
        <v>17.671363113548143</v>
      </c>
      <c r="K461" s="1">
        <f t="shared" si="274"/>
        <v>25.092683673393328</v>
      </c>
    </row>
    <row r="462" spans="1:11" x14ac:dyDescent="0.35">
      <c r="A462" s="5"/>
      <c r="B462" s="5" t="str">
        <f t="shared" si="255"/>
        <v>SPS3</v>
      </c>
      <c r="C462" s="5" t="s">
        <v>7</v>
      </c>
      <c r="D462" t="s">
        <v>892</v>
      </c>
      <c r="E462" t="str">
        <f>E397</f>
        <v>PJ/yr.</v>
      </c>
      <c r="F462" s="1">
        <f>+F463</f>
        <v>0.28483335830721707</v>
      </c>
      <c r="G462" s="1">
        <f t="shared" ref="G462:K462" si="275">+G463</f>
        <v>0.64170240747782359</v>
      </c>
      <c r="H462" s="1">
        <f t="shared" si="275"/>
        <v>1.9017208876669679E-2</v>
      </c>
      <c r="I462" s="1">
        <f t="shared" si="275"/>
        <v>0.47185610235045894</v>
      </c>
      <c r="J462" s="1">
        <f t="shared" si="275"/>
        <v>1.5618940152482956E-3</v>
      </c>
      <c r="K462" s="1">
        <f t="shared" si="275"/>
        <v>4.2844794523893691E-4</v>
      </c>
    </row>
    <row r="463" spans="1:11" x14ac:dyDescent="0.35">
      <c r="A463" s="5"/>
      <c r="B463" s="5" t="str">
        <f t="shared" si="255"/>
        <v>SPS3</v>
      </c>
      <c r="C463" s="5" t="s">
        <v>7</v>
      </c>
      <c r="D463" t="s">
        <v>206</v>
      </c>
      <c r="E463" t="str">
        <f>E398</f>
        <v>PJ/yr.</v>
      </c>
      <c r="F463" s="1">
        <f>'[1]Electricity and CHPs_IN'!B$41-F299</f>
        <v>0.28483335830721707</v>
      </c>
      <c r="G463" s="1">
        <f>'[1]Electricity and CHPs_IN'!C$41-G299</f>
        <v>0.64170240747782359</v>
      </c>
      <c r="H463" s="1">
        <f>'[1]Electricity and CHPs_IN'!D$41-H299</f>
        <v>1.9017208876669679E-2</v>
      </c>
      <c r="I463" s="1">
        <f>'[1]Electricity and CHPs_IN'!E$41-I299</f>
        <v>0.47185610235045894</v>
      </c>
      <c r="J463" s="1">
        <f>'[1]Electricity and CHPs_IN'!F$41-J299</f>
        <v>1.5618940152482956E-3</v>
      </c>
      <c r="K463" s="1">
        <f>'[1]Electricity and CHPs_IN'!G$41-K299</f>
        <v>4.2844794523893691E-4</v>
      </c>
    </row>
    <row r="464" spans="1:11" x14ac:dyDescent="0.35">
      <c r="A464" s="5"/>
      <c r="B464" s="5" t="str">
        <f t="shared" si="255"/>
        <v>SPS3</v>
      </c>
      <c r="C464" s="5" t="s">
        <v>7</v>
      </c>
      <c r="D464" t="s">
        <v>894</v>
      </c>
      <c r="E464" t="str">
        <f>E397</f>
        <v>PJ/yr.</v>
      </c>
      <c r="F464" s="1">
        <f>F465</f>
        <v>0.28483335830721707</v>
      </c>
      <c r="G464" s="1">
        <f t="shared" ref="G464:K464" si="276">G465</f>
        <v>0.64170240747782359</v>
      </c>
      <c r="H464" s="1">
        <f t="shared" si="276"/>
        <v>1.9017208876669679E-2</v>
      </c>
      <c r="I464" s="1">
        <f t="shared" si="276"/>
        <v>0.47185610235045894</v>
      </c>
      <c r="J464" s="1">
        <f t="shared" si="276"/>
        <v>1.5618940152482956E-3</v>
      </c>
      <c r="K464" s="1">
        <f t="shared" si="276"/>
        <v>4.2844794523893691E-4</v>
      </c>
    </row>
    <row r="465" spans="1:11" x14ac:dyDescent="0.35">
      <c r="A465" s="5"/>
      <c r="B465" s="5" t="str">
        <f t="shared" si="255"/>
        <v>SPS3</v>
      </c>
      <c r="C465" s="5" t="s">
        <v>7</v>
      </c>
      <c r="D465" t="s">
        <v>524</v>
      </c>
      <c r="E465" t="str">
        <f>E398</f>
        <v>PJ/yr.</v>
      </c>
      <c r="F465" s="1">
        <f>F463-F467</f>
        <v>0.28483335830721707</v>
      </c>
      <c r="G465" s="1">
        <f t="shared" ref="G465:K465" si="277">G463-G467</f>
        <v>0.64170240747782359</v>
      </c>
      <c r="H465" s="1">
        <f t="shared" si="277"/>
        <v>1.9017208876669679E-2</v>
      </c>
      <c r="I465" s="1">
        <f t="shared" si="277"/>
        <v>0.47185610235045894</v>
      </c>
      <c r="J465" s="1">
        <f t="shared" si="277"/>
        <v>1.5618940152482956E-3</v>
      </c>
      <c r="K465" s="1">
        <f t="shared" si="277"/>
        <v>4.2844794523893691E-4</v>
      </c>
    </row>
    <row r="466" spans="1:11" x14ac:dyDescent="0.35">
      <c r="A466" s="5"/>
      <c r="B466" s="5" t="str">
        <f t="shared" si="255"/>
        <v>SPS3</v>
      </c>
      <c r="C466" s="5" t="s">
        <v>7</v>
      </c>
      <c r="D466" t="s">
        <v>895</v>
      </c>
      <c r="E466" t="str">
        <f>E398</f>
        <v>PJ/yr.</v>
      </c>
      <c r="F466" s="1">
        <f>F467</f>
        <v>0</v>
      </c>
      <c r="G466" s="1">
        <f t="shared" ref="G466:K466" si="278">G467</f>
        <v>0</v>
      </c>
      <c r="H466" s="1">
        <f t="shared" si="278"/>
        <v>0</v>
      </c>
      <c r="I466" s="1">
        <f t="shared" si="278"/>
        <v>0</v>
      </c>
      <c r="J466" s="1">
        <f t="shared" si="278"/>
        <v>0</v>
      </c>
      <c r="K466" s="1">
        <f t="shared" si="278"/>
        <v>0</v>
      </c>
    </row>
    <row r="467" spans="1:11" x14ac:dyDescent="0.35">
      <c r="A467" s="5"/>
      <c r="B467" s="5" t="str">
        <f t="shared" si="255"/>
        <v>SPS3</v>
      </c>
      <c r="C467" s="5" t="s">
        <v>7</v>
      </c>
      <c r="D467" t="s">
        <v>548</v>
      </c>
      <c r="E467" t="str">
        <f>E399</f>
        <v>PJ/yr.</v>
      </c>
      <c r="F467" s="1">
        <f>IFERROR(F307/F299,0)*F463</f>
        <v>0</v>
      </c>
      <c r="G467" s="1">
        <f t="shared" ref="G467:K467" si="279">IFERROR(G307/G299,0)*G463</f>
        <v>0</v>
      </c>
      <c r="H467" s="1">
        <f t="shared" si="279"/>
        <v>0</v>
      </c>
      <c r="I467" s="1">
        <f t="shared" si="279"/>
        <v>0</v>
      </c>
      <c r="J467" s="1">
        <f t="shared" si="279"/>
        <v>0</v>
      </c>
      <c r="K467" s="1">
        <f t="shared" si="279"/>
        <v>0</v>
      </c>
    </row>
    <row r="468" spans="1:11" x14ac:dyDescent="0.35">
      <c r="A468" s="5"/>
      <c r="B468" s="5" t="str">
        <f t="shared" si="255"/>
        <v>SPS3</v>
      </c>
      <c r="C468" s="5" t="s">
        <v>7</v>
      </c>
      <c r="D468" t="s">
        <v>893</v>
      </c>
      <c r="E468" t="str">
        <f>E399</f>
        <v>PJ/yr.</v>
      </c>
      <c r="F468" s="1">
        <f>SUM(F469:F478)</f>
        <v>3.7008346179411076</v>
      </c>
      <c r="G468" s="1">
        <f t="shared" ref="G468:K468" si="280">SUM(G469:G478)</f>
        <v>3.528776359816971</v>
      </c>
      <c r="H468" s="1">
        <f t="shared" si="280"/>
        <v>2.3859617158808111</v>
      </c>
      <c r="I468" s="1">
        <f t="shared" si="280"/>
        <v>5.9054119881545759</v>
      </c>
      <c r="J468" s="1">
        <f t="shared" si="280"/>
        <v>6.4138865042982136</v>
      </c>
      <c r="K468" s="1">
        <f t="shared" si="280"/>
        <v>4.7536680448877755</v>
      </c>
    </row>
    <row r="469" spans="1:11" x14ac:dyDescent="0.35">
      <c r="A469" s="5"/>
      <c r="B469" s="5" t="str">
        <f t="shared" si="255"/>
        <v>SPS3</v>
      </c>
      <c r="C469" s="5" t="s">
        <v>7</v>
      </c>
      <c r="D469" t="s">
        <v>207</v>
      </c>
      <c r="E469" t="str">
        <f>E400</f>
        <v>PJ/yr.</v>
      </c>
      <c r="F469" s="1">
        <f>'[1]Electricity and CHPs_IN'!B$39-F314</f>
        <v>1.0389161511747398</v>
      </c>
      <c r="G469" s="1">
        <f>'[1]Electricity and CHPs_IN'!C$39-G314</f>
        <v>0.78131794476402661</v>
      </c>
      <c r="H469" s="1">
        <f>'[1]Electricity and CHPs_IN'!D$39-H314</f>
        <v>8.3535521032579857E-2</v>
      </c>
      <c r="I469" s="1">
        <f>'[1]Electricity and CHPs_IN'!E$39-I314</f>
        <v>3.5816401394507438E-2</v>
      </c>
      <c r="J469" s="1">
        <f>'[1]Electricity and CHPs_IN'!F$39-J314</f>
        <v>8.6366230891986567E-3</v>
      </c>
      <c r="K469" s="1">
        <f>'[1]Electricity and CHPs_IN'!G$39-K314</f>
        <v>2.114367821492929E-3</v>
      </c>
    </row>
    <row r="470" spans="1:11" x14ac:dyDescent="0.35">
      <c r="A470" s="5"/>
      <c r="B470" s="5" t="str">
        <f t="shared" si="255"/>
        <v>SPS3</v>
      </c>
      <c r="C470" s="5" t="s">
        <v>7</v>
      </c>
      <c r="D470" t="s">
        <v>208</v>
      </c>
      <c r="E470" t="str">
        <f>E401</f>
        <v>PJ/yr.</v>
      </c>
      <c r="F470" s="6">
        <f>'[1]Electricity and CHPs_IN'!B$40-F315</f>
        <v>0</v>
      </c>
      <c r="G470" s="6">
        <f>'[1]Electricity and CHPs_IN'!C$40-G315</f>
        <v>0</v>
      </c>
      <c r="H470" s="6">
        <f>'[1]Electricity and CHPs_IN'!D$40-H315</f>
        <v>0</v>
      </c>
      <c r="I470" s="6">
        <f>'[1]Electricity and CHPs_IN'!E$40-I315</f>
        <v>0</v>
      </c>
      <c r="J470" s="6">
        <f>'[1]Electricity and CHPs_IN'!F$40-J315</f>
        <v>5.6486244207465473E-4</v>
      </c>
      <c r="K470" s="6">
        <f>'[1]Electricity and CHPs_IN'!G$40-K315</f>
        <v>8.7732156148835735E-4</v>
      </c>
    </row>
    <row r="471" spans="1:11" x14ac:dyDescent="0.35">
      <c r="A471" s="5"/>
      <c r="B471" s="5" t="str">
        <f t="shared" si="255"/>
        <v>SPS3</v>
      </c>
      <c r="C471" s="5" t="s">
        <v>7</v>
      </c>
      <c r="D471" t="s">
        <v>209</v>
      </c>
      <c r="E471" t="str">
        <f>E402</f>
        <v>PJ/yr.</v>
      </c>
      <c r="F471" s="6">
        <f>'[1]Electricity and CHPs_IN'!$B$47-F316</f>
        <v>0</v>
      </c>
      <c r="G471" s="6">
        <f>'[1]Electricity and CHPs_IN'!$B$47-G316</f>
        <v>0</v>
      </c>
      <c r="H471" s="6">
        <f>'[1]Electricity and CHPs_IN'!$B$47-H316</f>
        <v>0</v>
      </c>
      <c r="I471" s="6">
        <f>'[1]Electricity and CHPs_IN'!$B$47-I316</f>
        <v>0</v>
      </c>
      <c r="J471" s="6">
        <f>'[1]Electricity and CHPs_IN'!$B$47-J316</f>
        <v>0</v>
      </c>
      <c r="K471" s="6">
        <f>'[1]Electricity and CHPs_IN'!$B$47-K316</f>
        <v>0</v>
      </c>
    </row>
    <row r="472" spans="1:11" x14ac:dyDescent="0.35">
      <c r="A472" s="5"/>
      <c r="B472" s="5" t="str">
        <f t="shared" si="255"/>
        <v>SPS3</v>
      </c>
      <c r="C472" s="5" t="s">
        <v>7</v>
      </c>
      <c r="D472" t="s">
        <v>210</v>
      </c>
      <c r="E472" t="str">
        <f>E427</f>
        <v>PJ/yr.</v>
      </c>
      <c r="F472" s="1">
        <f>'[1]Electricity and CHPs_IN'!B$48-F317</f>
        <v>7.2598609031798031E-2</v>
      </c>
      <c r="G472" s="1">
        <f>'[1]Electricity and CHPs_IN'!C$48-G317</f>
        <v>4.5868381348895572E-3</v>
      </c>
      <c r="H472" s="1">
        <f>'[1]Electricity and CHPs_IN'!D$48-H317</f>
        <v>2.9534437354397591E-2</v>
      </c>
      <c r="I472" s="1">
        <f>'[1]Electricity and CHPs_IN'!E$48-I317</f>
        <v>2.9935998208704032E-2</v>
      </c>
      <c r="J472" s="1">
        <f>'[1]Electricity and CHPs_IN'!F$48-J317</f>
        <v>1.3441088894873325E-2</v>
      </c>
      <c r="K472" s="1">
        <f>'[1]Electricity and CHPs_IN'!G$48-K317</f>
        <v>4.5945033242347121E-4</v>
      </c>
    </row>
    <row r="473" spans="1:11" x14ac:dyDescent="0.35">
      <c r="A473" s="5"/>
      <c r="B473" s="5" t="str">
        <f t="shared" si="255"/>
        <v>SPS3</v>
      </c>
      <c r="C473" s="5" t="s">
        <v>7</v>
      </c>
      <c r="D473" t="s">
        <v>211</v>
      </c>
      <c r="E473" t="str">
        <f>E429</f>
        <v>PJ/yr.</v>
      </c>
      <c r="F473" s="6">
        <f>'[1]Electricity and CHPs_IN'!B$49-F318</f>
        <v>0</v>
      </c>
      <c r="G473" s="6">
        <f>'[1]Electricity and CHPs_IN'!C$49-G318</f>
        <v>0</v>
      </c>
      <c r="H473" s="6">
        <f>'[1]Electricity and CHPs_IN'!D$49-H318</f>
        <v>0</v>
      </c>
      <c r="I473" s="6">
        <f>'[1]Electricity and CHPs_IN'!E$49-I318</f>
        <v>0</v>
      </c>
      <c r="J473" s="6">
        <f>'[1]Electricity and CHPs_IN'!F$49-J318</f>
        <v>0</v>
      </c>
      <c r="K473" s="6">
        <f>'[1]Electricity and CHPs_IN'!G$49-K318</f>
        <v>0</v>
      </c>
    </row>
    <row r="474" spans="1:11" x14ac:dyDescent="0.35">
      <c r="A474" s="5"/>
      <c r="B474" s="5" t="str">
        <f t="shared" si="255"/>
        <v>SPS3</v>
      </c>
      <c r="C474" s="5" t="s">
        <v>7</v>
      </c>
      <c r="D474" t="s">
        <v>212</v>
      </c>
      <c r="E474" t="str">
        <f>E430</f>
        <v>PJ/yr.</v>
      </c>
      <c r="F474" s="1">
        <f>'[1]Electricity and CHPs_IN'!B$51-F319</f>
        <v>0.10037542515009676</v>
      </c>
      <c r="G474" s="1">
        <f>'[1]Electricity and CHPs_IN'!C$51-G319</f>
        <v>3.9785849999132185E-3</v>
      </c>
      <c r="H474" s="1">
        <f>'[1]Electricity and CHPs_IN'!D$51-H319</f>
        <v>4.6425920150313355E-2</v>
      </c>
      <c r="I474" s="1">
        <f>'[1]Electricity and CHPs_IN'!E$51-I319</f>
        <v>4.0949482307793659</v>
      </c>
      <c r="J474" s="1">
        <f>'[1]Electricity and CHPs_IN'!F$51-J319</f>
        <v>2.7100782132016477</v>
      </c>
      <c r="K474" s="1">
        <f>'[1]Electricity and CHPs_IN'!G$51-K319</f>
        <v>4.8373541179519332E-4</v>
      </c>
    </row>
    <row r="475" spans="1:11" x14ac:dyDescent="0.35">
      <c r="A475" s="5"/>
      <c r="B475" s="5" t="str">
        <f t="shared" si="255"/>
        <v>SPS3</v>
      </c>
      <c r="C475" s="5" t="s">
        <v>7</v>
      </c>
      <c r="D475" t="s">
        <v>213</v>
      </c>
      <c r="E475" t="str">
        <f>E432</f>
        <v>PJ/yr.</v>
      </c>
      <c r="F475" s="1">
        <f>'[1]Electricity and CHPs_IN'!B$52-F320</f>
        <v>0</v>
      </c>
      <c r="G475" s="1">
        <f>'[1]Electricity and CHPs_IN'!C$52-G320</f>
        <v>0</v>
      </c>
      <c r="H475" s="1">
        <f>'[1]Electricity and CHPs_IN'!D$52-H320</f>
        <v>0</v>
      </c>
      <c r="I475" s="1">
        <f>'[1]Electricity and CHPs_IN'!E$52-I320</f>
        <v>0</v>
      </c>
      <c r="J475" s="1">
        <f>'[1]Electricity and CHPs_IN'!F$52-J320</f>
        <v>0</v>
      </c>
      <c r="K475" s="1">
        <f>'[1]Electricity and CHPs_IN'!G$52-K320</f>
        <v>0</v>
      </c>
    </row>
    <row r="476" spans="1:11" x14ac:dyDescent="0.35">
      <c r="A476" s="5"/>
      <c r="B476" s="5" t="str">
        <f t="shared" si="255"/>
        <v>SPS3</v>
      </c>
      <c r="C476" s="5" t="s">
        <v>7</v>
      </c>
      <c r="D476" t="s">
        <v>214</v>
      </c>
      <c r="E476" t="str">
        <f>E456</f>
        <v>PJ/yr.</v>
      </c>
      <c r="F476" s="1">
        <f>'[1]Electricity and CHPs_IN'!B$54-F321</f>
        <v>1.5807094672471558</v>
      </c>
      <c r="G476" s="1">
        <f>'[1]Electricity and CHPs_IN'!C$54-G321</f>
        <v>1.7910618206601752</v>
      </c>
      <c r="H476" s="1">
        <f>'[1]Electricity and CHPs_IN'!D$54-H321</f>
        <v>2.2085983060454901</v>
      </c>
      <c r="I476" s="1">
        <f>'[1]Electricity and CHPs_IN'!E$54-I321</f>
        <v>1.7328160156957131</v>
      </c>
      <c r="J476" s="1">
        <f>'[1]Electricity and CHPs_IN'!F$54-J321</f>
        <v>3.6795985017047528</v>
      </c>
      <c r="K476" s="1">
        <f>'[1]Electricity and CHPs_IN'!G$54-K321</f>
        <v>4.7491299735350783</v>
      </c>
    </row>
    <row r="477" spans="1:11" x14ac:dyDescent="0.35">
      <c r="A477" s="5"/>
      <c r="B477" s="5" t="str">
        <f t="shared" si="255"/>
        <v>SPS3</v>
      </c>
      <c r="C477" s="5" t="s">
        <v>7</v>
      </c>
      <c r="D477" t="s">
        <v>215</v>
      </c>
      <c r="E477" t="str">
        <f>E458</f>
        <v>PJ/yr.</v>
      </c>
      <c r="F477" s="1">
        <f>'[1]Electricity and CHPs_IN'!B$55-F322</f>
        <v>0.90823496533731707</v>
      </c>
      <c r="G477" s="1">
        <f>'[1]Electricity and CHPs_IN'!C$55-G322</f>
        <v>0.94783117125796634</v>
      </c>
      <c r="H477" s="1">
        <f>'[1]Electricity and CHPs_IN'!D$55-H322</f>
        <v>1.7867531298030384E-2</v>
      </c>
      <c r="I477" s="1">
        <f>'[1]Electricity and CHPs_IN'!E$55-I322</f>
        <v>1.159897443881589E-2</v>
      </c>
      <c r="J477" s="1">
        <f>'[1]Electricity and CHPs_IN'!F$55-J322</f>
        <v>5.2029741805041923E-4</v>
      </c>
      <c r="K477" s="1">
        <f>'[1]Electricity and CHPs_IN'!G$55-K322</f>
        <v>4.5226393012390569E-4</v>
      </c>
    </row>
    <row r="478" spans="1:11" x14ac:dyDescent="0.35">
      <c r="A478" s="5"/>
      <c r="B478" s="5" t="str">
        <f t="shared" si="255"/>
        <v>SPS3</v>
      </c>
      <c r="C478" s="5" t="s">
        <v>7</v>
      </c>
      <c r="D478" t="s">
        <v>216</v>
      </c>
      <c r="E478" t="str">
        <f>E460</f>
        <v>PJ/yr.</v>
      </c>
      <c r="F478" s="1">
        <f>'[1]Electricity and CHPs_IN'!B$58-F323</f>
        <v>0</v>
      </c>
      <c r="G478" s="1">
        <f>'[1]Electricity and CHPs_IN'!C$58-G323</f>
        <v>0</v>
      </c>
      <c r="H478" s="1">
        <f>'[1]Electricity and CHPs_IN'!D$58-H323</f>
        <v>0</v>
      </c>
      <c r="I478" s="1">
        <f>'[1]Electricity and CHPs_IN'!E$58-I323</f>
        <v>2.9636763746917864E-4</v>
      </c>
      <c r="J478" s="1">
        <f>'[1]Electricity and CHPs_IN'!F$58-J323</f>
        <v>1.0469175476164401E-3</v>
      </c>
      <c r="K478" s="1">
        <f>'[1]Electricity and CHPs_IN'!G$58-K323</f>
        <v>1.5093229537288511E-4</v>
      </c>
    </row>
    <row r="479" spans="1:11" x14ac:dyDescent="0.35">
      <c r="A479" s="5"/>
      <c r="B479" s="5" t="str">
        <f t="shared" si="255"/>
        <v>SPS3</v>
      </c>
      <c r="C479" s="5" t="s">
        <v>7</v>
      </c>
      <c r="D479" t="s">
        <v>896</v>
      </c>
      <c r="E479" t="str">
        <f>E400</f>
        <v>PJ/yr.</v>
      </c>
      <c r="F479" s="1">
        <f>SUM(F480:F489)</f>
        <v>2.0651717553991014</v>
      </c>
      <c r="G479" s="1">
        <f t="shared" ref="G479:K479" si="281">SUM(G480:G489)</f>
        <v>1.703253420887797</v>
      </c>
      <c r="H479" s="1">
        <f t="shared" si="281"/>
        <v>0.17646786792454391</v>
      </c>
      <c r="I479" s="1">
        <f t="shared" si="281"/>
        <v>3.7414139031414062</v>
      </c>
      <c r="J479" s="1">
        <f t="shared" si="281"/>
        <v>1.8368157530687834</v>
      </c>
      <c r="K479" s="1">
        <f t="shared" si="281"/>
        <v>6.1909484433566144E-7</v>
      </c>
    </row>
    <row r="480" spans="1:11" x14ac:dyDescent="0.35">
      <c r="A480" s="5"/>
      <c r="B480" s="5" t="str">
        <f t="shared" si="255"/>
        <v>SPS3</v>
      </c>
      <c r="C480" s="5" t="s">
        <v>7</v>
      </c>
      <c r="D480" t="s">
        <v>597</v>
      </c>
      <c r="E480" t="str">
        <f>E400</f>
        <v>PJ/yr.</v>
      </c>
      <c r="F480" s="1">
        <f t="shared" ref="F480:F486" si="282">F469-F491</f>
        <v>1.0119875663621769</v>
      </c>
      <c r="G480" s="1">
        <f t="shared" ref="G480:K480" si="283">G469-G491</f>
        <v>0.76582340323059994</v>
      </c>
      <c r="H480" s="1">
        <f t="shared" si="283"/>
        <v>8.311373414771589E-2</v>
      </c>
      <c r="I480" s="1">
        <f t="shared" si="283"/>
        <v>3.2115254633421027E-2</v>
      </c>
      <c r="J480" s="1">
        <f t="shared" si="283"/>
        <v>5.801834089353735E-3</v>
      </c>
      <c r="K480" s="1">
        <f t="shared" si="283"/>
        <v>2.8844725337732677E-7</v>
      </c>
    </row>
    <row r="481" spans="1:18" x14ac:dyDescent="0.35">
      <c r="A481" s="5"/>
      <c r="B481" s="5" t="str">
        <f t="shared" si="255"/>
        <v>SPS3</v>
      </c>
      <c r="C481" s="5" t="s">
        <v>7</v>
      </c>
      <c r="D481" t="s">
        <v>598</v>
      </c>
      <c r="E481" t="str">
        <f>E401</f>
        <v>PJ/yr.</v>
      </c>
      <c r="F481" s="1">
        <f t="shared" si="282"/>
        <v>0</v>
      </c>
      <c r="G481" s="1">
        <f t="shared" ref="G481:K481" si="284">G470-G492</f>
        <v>0</v>
      </c>
      <c r="H481" s="1">
        <f t="shared" si="284"/>
        <v>0</v>
      </c>
      <c r="I481" s="1">
        <f t="shared" si="284"/>
        <v>0</v>
      </c>
      <c r="J481" s="1">
        <f t="shared" si="284"/>
        <v>3.7945828344911682E-4</v>
      </c>
      <c r="K481" s="1">
        <f t="shared" si="284"/>
        <v>1.1968636306678142E-7</v>
      </c>
    </row>
    <row r="482" spans="1:18" x14ac:dyDescent="0.35">
      <c r="A482" s="5"/>
      <c r="B482" s="5" t="str">
        <f t="shared" si="255"/>
        <v>SPS3</v>
      </c>
      <c r="C482" s="5" t="s">
        <v>7</v>
      </c>
      <c r="D482" t="s">
        <v>599</v>
      </c>
      <c r="E482" t="str">
        <f>E402</f>
        <v>PJ/yr.</v>
      </c>
      <c r="F482" s="1">
        <f t="shared" si="282"/>
        <v>0</v>
      </c>
      <c r="G482" s="1">
        <f t="shared" ref="G482:K482" si="285">G471-G493</f>
        <v>0</v>
      </c>
      <c r="H482" s="1">
        <f t="shared" si="285"/>
        <v>0</v>
      </c>
      <c r="I482" s="1">
        <f t="shared" si="285"/>
        <v>0</v>
      </c>
      <c r="J482" s="1">
        <f t="shared" si="285"/>
        <v>0</v>
      </c>
      <c r="K482" s="1">
        <f t="shared" si="285"/>
        <v>0</v>
      </c>
    </row>
    <row r="483" spans="1:18" x14ac:dyDescent="0.35">
      <c r="A483" s="5"/>
      <c r="B483" s="5" t="str">
        <f t="shared" si="255"/>
        <v>SPS3</v>
      </c>
      <c r="C483" s="5" t="s">
        <v>7</v>
      </c>
      <c r="D483" t="s">
        <v>600</v>
      </c>
      <c r="E483" t="str">
        <f>E427</f>
        <v>PJ/yr.</v>
      </c>
      <c r="F483" s="1">
        <f t="shared" si="282"/>
        <v>7.0716861598786901E-2</v>
      </c>
      <c r="G483" s="1">
        <f t="shared" ref="G483:K483" si="286">G472-G494</f>
        <v>4.4958752247651569E-3</v>
      </c>
      <c r="H483" s="1">
        <f t="shared" si="286"/>
        <v>2.9385312309459368E-2</v>
      </c>
      <c r="I483" s="1">
        <f t="shared" si="286"/>
        <v>2.6842512584907535E-2</v>
      </c>
      <c r="J483" s="1">
        <f t="shared" si="286"/>
        <v>9.0293355334492842E-3</v>
      </c>
      <c r="K483" s="1">
        <f t="shared" si="286"/>
        <v>6.267934325504456E-8</v>
      </c>
    </row>
    <row r="484" spans="1:18" x14ac:dyDescent="0.35">
      <c r="A484" s="5"/>
      <c r="B484" s="5" t="str">
        <f t="shared" si="255"/>
        <v>SPS3</v>
      </c>
      <c r="C484" s="5" t="s">
        <v>7</v>
      </c>
      <c r="D484" t="s">
        <v>601</v>
      </c>
      <c r="E484" t="str">
        <f>E429</f>
        <v>PJ/yr.</v>
      </c>
      <c r="F484" s="1">
        <f t="shared" si="282"/>
        <v>0</v>
      </c>
      <c r="G484" s="1">
        <f t="shared" ref="G484:K484" si="287">G473-G495</f>
        <v>0</v>
      </c>
      <c r="H484" s="1">
        <f t="shared" si="287"/>
        <v>0</v>
      </c>
      <c r="I484" s="1">
        <f t="shared" si="287"/>
        <v>0</v>
      </c>
      <c r="J484" s="1">
        <f t="shared" si="287"/>
        <v>0</v>
      </c>
      <c r="K484" s="1">
        <f t="shared" si="287"/>
        <v>0</v>
      </c>
    </row>
    <row r="485" spans="1:18" x14ac:dyDescent="0.35">
      <c r="A485" s="5"/>
      <c r="B485" s="5" t="str">
        <f t="shared" si="255"/>
        <v>SPS3</v>
      </c>
      <c r="C485" s="5" t="s">
        <v>7</v>
      </c>
      <c r="D485" t="s">
        <v>602</v>
      </c>
      <c r="E485" t="str">
        <f>E431</f>
        <v>PJ/yr.</v>
      </c>
      <c r="F485" s="1">
        <f t="shared" si="282"/>
        <v>9.7773705900477709E-2</v>
      </c>
      <c r="G485" s="1">
        <f t="shared" ref="G485:K485" si="288">G474-G496</f>
        <v>3.8996845331588786E-3</v>
      </c>
      <c r="H485" s="1">
        <f t="shared" si="288"/>
        <v>4.6191506765502995E-2</v>
      </c>
      <c r="I485" s="1">
        <f t="shared" si="288"/>
        <v>3.6717900185897454</v>
      </c>
      <c r="J485" s="1">
        <f t="shared" si="288"/>
        <v>1.8205523153873169</v>
      </c>
      <c r="K485" s="1">
        <f t="shared" si="288"/>
        <v>6.5992373453316842E-8</v>
      </c>
    </row>
    <row r="486" spans="1:18" x14ac:dyDescent="0.35">
      <c r="A486" s="5"/>
      <c r="B486" s="5" t="str">
        <f t="shared" si="255"/>
        <v>SPS3</v>
      </c>
      <c r="C486" s="5" t="s">
        <v>7</v>
      </c>
      <c r="D486" t="s">
        <v>603</v>
      </c>
      <c r="E486" t="str">
        <f>E432</f>
        <v>PJ/yr.</v>
      </c>
      <c r="F486" s="1">
        <f t="shared" si="282"/>
        <v>0</v>
      </c>
      <c r="G486" s="1">
        <f t="shared" ref="G486:K486" si="289">G475-G497</f>
        <v>0</v>
      </c>
      <c r="H486" s="1">
        <f t="shared" si="289"/>
        <v>0</v>
      </c>
      <c r="I486" s="1">
        <f t="shared" si="289"/>
        <v>0</v>
      </c>
      <c r="J486" s="1">
        <f t="shared" si="289"/>
        <v>0</v>
      </c>
      <c r="K486" s="1">
        <f t="shared" si="289"/>
        <v>0</v>
      </c>
    </row>
    <row r="487" spans="1:18" x14ac:dyDescent="0.35">
      <c r="A487" s="5"/>
      <c r="B487" s="5" t="str">
        <f t="shared" si="255"/>
        <v>SPS3</v>
      </c>
      <c r="C487" s="5" t="s">
        <v>7</v>
      </c>
      <c r="D487" t="s">
        <v>604</v>
      </c>
      <c r="E487" t="str">
        <f>E469</f>
        <v>PJ/yr.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8" x14ac:dyDescent="0.35">
      <c r="A488" s="5"/>
      <c r="B488" s="5" t="str">
        <f t="shared" si="255"/>
        <v>SPS3</v>
      </c>
      <c r="C488" s="5" t="s">
        <v>7</v>
      </c>
      <c r="D488" t="s">
        <v>605</v>
      </c>
      <c r="E488" t="str">
        <f>E471</f>
        <v>PJ/yr.</v>
      </c>
      <c r="F488" s="1">
        <f>F477-F499</f>
        <v>0.88469362153765985</v>
      </c>
      <c r="G488" s="1">
        <f t="shared" ref="G488:K488" si="290">G477-G499</f>
        <v>0.92903445789927297</v>
      </c>
      <c r="H488" s="1">
        <f t="shared" si="290"/>
        <v>1.7777314701865665E-2</v>
      </c>
      <c r="I488" s="1">
        <f t="shared" si="290"/>
        <v>1.040037533324715E-2</v>
      </c>
      <c r="J488" s="1">
        <f t="shared" si="290"/>
        <v>3.4952078670921131E-4</v>
      </c>
      <c r="K488" s="1">
        <f t="shared" si="290"/>
        <v>6.1698956595819705E-8</v>
      </c>
    </row>
    <row r="489" spans="1:18" x14ac:dyDescent="0.35">
      <c r="A489" s="5"/>
      <c r="B489" s="5" t="str">
        <f t="shared" si="255"/>
        <v>SPS3</v>
      </c>
      <c r="C489" s="5" t="s">
        <v>7</v>
      </c>
      <c r="D489" t="s">
        <v>606</v>
      </c>
      <c r="E489" t="str">
        <f>E473</f>
        <v>PJ/yr.</v>
      </c>
      <c r="F489" s="1">
        <f>F478-F500</f>
        <v>0</v>
      </c>
      <c r="G489" s="1">
        <f t="shared" ref="G489:K489" si="291">G478-G500</f>
        <v>0</v>
      </c>
      <c r="H489" s="1">
        <f t="shared" si="291"/>
        <v>0</v>
      </c>
      <c r="I489" s="1">
        <f t="shared" si="291"/>
        <v>2.6574200008512545E-4</v>
      </c>
      <c r="J489" s="1">
        <f t="shared" si="291"/>
        <v>7.0328898850525708E-4</v>
      </c>
      <c r="K489" s="1">
        <f t="shared" si="291"/>
        <v>2.0590554587372138E-8</v>
      </c>
    </row>
    <row r="490" spans="1:18" x14ac:dyDescent="0.35">
      <c r="A490" s="5"/>
      <c r="B490" s="5" t="str">
        <f t="shared" si="255"/>
        <v>SPS3</v>
      </c>
      <c r="C490" s="5" t="s">
        <v>7</v>
      </c>
      <c r="D490" t="s">
        <v>897</v>
      </c>
      <c r="E490" t="str">
        <f>E401</f>
        <v>PJ/yr.</v>
      </c>
      <c r="F490" s="1">
        <f>SUM(F491:F500)</f>
        <v>1.635662862542006</v>
      </c>
      <c r="G490" s="1">
        <f t="shared" ref="G490:K490" si="292">SUM(G491:G500)</f>
        <v>1.8255229389291738</v>
      </c>
      <c r="H490" s="1">
        <f t="shared" si="292"/>
        <v>2.2094938479562676</v>
      </c>
      <c r="I490" s="1">
        <f t="shared" si="292"/>
        <v>2.1639980850131693</v>
      </c>
      <c r="J490" s="1">
        <f t="shared" si="292"/>
        <v>4.5770707512294306</v>
      </c>
      <c r="K490" s="1">
        <f t="shared" si="292"/>
        <v>4.7536674257929299</v>
      </c>
      <c r="M490" s="8"/>
      <c r="N490" s="8"/>
      <c r="O490" s="8"/>
      <c r="P490" s="8"/>
      <c r="Q490" s="8"/>
      <c r="R490" s="8"/>
    </row>
    <row r="491" spans="1:18" x14ac:dyDescent="0.35">
      <c r="A491" s="5"/>
      <c r="B491" s="5" t="str">
        <f t="shared" si="255"/>
        <v>SPS3</v>
      </c>
      <c r="C491" s="5" t="s">
        <v>7</v>
      </c>
      <c r="D491" t="s">
        <v>658</v>
      </c>
      <c r="E491" t="str">
        <f>E403</f>
        <v>PJ/yr.</v>
      </c>
      <c r="F491" s="1">
        <f t="shared" ref="F491:F497" si="293">IFERROR(F346/F314,0)*F469</f>
        <v>2.6928584812562845E-2</v>
      </c>
      <c r="G491" s="1">
        <f t="shared" ref="G491:K491" si="294">IFERROR(G346/G314,0)*G469</f>
        <v>1.5494541533426623E-2</v>
      </c>
      <c r="H491" s="1">
        <f t="shared" si="294"/>
        <v>4.2178688486396655E-4</v>
      </c>
      <c r="I491" s="1">
        <f t="shared" si="294"/>
        <v>3.7011467610864129E-3</v>
      </c>
      <c r="J491" s="1">
        <f t="shared" si="294"/>
        <v>2.8347889998449217E-3</v>
      </c>
      <c r="K491" s="1">
        <f t="shared" si="294"/>
        <v>2.1140793742395517E-3</v>
      </c>
    </row>
    <row r="492" spans="1:18" x14ac:dyDescent="0.35">
      <c r="A492" s="5"/>
      <c r="B492" s="5" t="str">
        <f t="shared" si="255"/>
        <v>SPS3</v>
      </c>
      <c r="C492" s="5" t="s">
        <v>7</v>
      </c>
      <c r="D492" t="s">
        <v>659</v>
      </c>
      <c r="E492" t="str">
        <f>E404</f>
        <v>PJ/yr.</v>
      </c>
      <c r="F492" s="1">
        <f t="shared" si="293"/>
        <v>0</v>
      </c>
      <c r="G492" s="1">
        <f t="shared" ref="G492:K492" si="295">IFERROR(G347/G315,0)*G470</f>
        <v>0</v>
      </c>
      <c r="H492" s="1">
        <f t="shared" si="295"/>
        <v>0</v>
      </c>
      <c r="I492" s="1">
        <f t="shared" si="295"/>
        <v>0</v>
      </c>
      <c r="J492" s="1">
        <f t="shared" si="295"/>
        <v>1.8540415862553791E-4</v>
      </c>
      <c r="K492" s="1">
        <f t="shared" si="295"/>
        <v>8.7720187512529057E-4</v>
      </c>
    </row>
    <row r="493" spans="1:18" x14ac:dyDescent="0.35">
      <c r="A493" s="5"/>
      <c r="B493" s="5" t="str">
        <f t="shared" si="255"/>
        <v>SPS3</v>
      </c>
      <c r="C493" s="5" t="s">
        <v>7</v>
      </c>
      <c r="D493" t="s">
        <v>660</v>
      </c>
      <c r="E493" t="str">
        <f>E405</f>
        <v>PJ/yr.</v>
      </c>
      <c r="F493" s="1">
        <f t="shared" si="293"/>
        <v>0</v>
      </c>
      <c r="G493" s="1">
        <f t="shared" ref="G493:K493" si="296">IFERROR(G348/G316,0)*G471</f>
        <v>0</v>
      </c>
      <c r="H493" s="1">
        <f t="shared" si="296"/>
        <v>0</v>
      </c>
      <c r="I493" s="1">
        <f t="shared" si="296"/>
        <v>0</v>
      </c>
      <c r="J493" s="1">
        <f t="shared" si="296"/>
        <v>0</v>
      </c>
      <c r="K493" s="1">
        <f t="shared" si="296"/>
        <v>0</v>
      </c>
    </row>
    <row r="494" spans="1:18" x14ac:dyDescent="0.35">
      <c r="A494" s="5"/>
      <c r="B494" s="5" t="str">
        <f t="shared" si="255"/>
        <v>SPS3</v>
      </c>
      <c r="C494" s="5" t="s">
        <v>7</v>
      </c>
      <c r="D494" t="s">
        <v>661</v>
      </c>
      <c r="E494" t="str">
        <f>E433</f>
        <v>PJ/yr.</v>
      </c>
      <c r="F494" s="1">
        <f t="shared" si="293"/>
        <v>1.8817474330111291E-3</v>
      </c>
      <c r="G494" s="1">
        <f t="shared" ref="G494:K494" si="297">IFERROR(G349/G317,0)*G472</f>
        <v>9.0962910124400134E-5</v>
      </c>
      <c r="H494" s="1">
        <f t="shared" si="297"/>
        <v>1.491250449382221E-4</v>
      </c>
      <c r="I494" s="1">
        <f t="shared" si="297"/>
        <v>3.0934856237964958E-3</v>
      </c>
      <c r="J494" s="1">
        <f t="shared" si="297"/>
        <v>4.4117533614240409E-3</v>
      </c>
      <c r="K494" s="1">
        <f t="shared" si="297"/>
        <v>4.5938765308021617E-4</v>
      </c>
    </row>
    <row r="495" spans="1:18" x14ac:dyDescent="0.35">
      <c r="A495" s="5"/>
      <c r="B495" s="5" t="str">
        <f t="shared" si="255"/>
        <v>SPS3</v>
      </c>
      <c r="C495" s="5" t="s">
        <v>7</v>
      </c>
      <c r="D495" t="s">
        <v>662</v>
      </c>
      <c r="E495" t="str">
        <f>E435</f>
        <v>PJ/yr.</v>
      </c>
      <c r="F495" s="1">
        <f t="shared" si="293"/>
        <v>0</v>
      </c>
      <c r="G495" s="1">
        <f t="shared" ref="G495:K495" si="298">IFERROR(G350/G318,0)*G473</f>
        <v>0</v>
      </c>
      <c r="H495" s="1">
        <f t="shared" si="298"/>
        <v>0</v>
      </c>
      <c r="I495" s="1">
        <f t="shared" si="298"/>
        <v>0</v>
      </c>
      <c r="J495" s="1">
        <f t="shared" si="298"/>
        <v>0</v>
      </c>
      <c r="K495" s="1">
        <f t="shared" si="298"/>
        <v>0</v>
      </c>
    </row>
    <row r="496" spans="1:18" x14ac:dyDescent="0.35">
      <c r="A496" s="5"/>
      <c r="B496" s="5" t="str">
        <f t="shared" si="255"/>
        <v>SPS3</v>
      </c>
      <c r="C496" s="5" t="s">
        <v>7</v>
      </c>
      <c r="D496" t="s">
        <v>663</v>
      </c>
      <c r="E496" t="str">
        <f>E437</f>
        <v>PJ/yr.</v>
      </c>
      <c r="F496" s="1">
        <f t="shared" si="293"/>
        <v>2.601719249619047E-3</v>
      </c>
      <c r="G496" s="1">
        <f t="shared" ref="G496:K496" si="299">IFERROR(G351/G319,0)*G474</f>
        <v>7.8900466754339924E-5</v>
      </c>
      <c r="H496" s="1">
        <f t="shared" si="299"/>
        <v>2.3441338481035903E-4</v>
      </c>
      <c r="I496" s="1">
        <f t="shared" si="299"/>
        <v>0.42315821218962069</v>
      </c>
      <c r="J496" s="1">
        <f t="shared" si="299"/>
        <v>0.88952589781433078</v>
      </c>
      <c r="K496" s="1">
        <f t="shared" si="299"/>
        <v>4.8366941942174001E-4</v>
      </c>
    </row>
    <row r="497" spans="1:11" x14ac:dyDescent="0.35">
      <c r="A497" s="5"/>
      <c r="B497" s="5" t="str">
        <f t="shared" si="255"/>
        <v>SPS3</v>
      </c>
      <c r="C497" s="5" t="s">
        <v>7</v>
      </c>
      <c r="D497" t="s">
        <v>664</v>
      </c>
      <c r="E497" t="str">
        <f>E438</f>
        <v>PJ/yr.</v>
      </c>
      <c r="F497" s="1">
        <f t="shared" si="293"/>
        <v>0</v>
      </c>
      <c r="G497" s="1">
        <f t="shared" ref="G497:K497" si="300">IFERROR(G352/G320,0)*G475</f>
        <v>0</v>
      </c>
      <c r="H497" s="1">
        <f t="shared" si="300"/>
        <v>0</v>
      </c>
      <c r="I497" s="1">
        <f t="shared" si="300"/>
        <v>0</v>
      </c>
      <c r="J497" s="1">
        <f t="shared" si="300"/>
        <v>0</v>
      </c>
      <c r="K497" s="1">
        <f t="shared" si="300"/>
        <v>0</v>
      </c>
    </row>
    <row r="498" spans="1:11" x14ac:dyDescent="0.35">
      <c r="A498" s="5"/>
      <c r="B498" s="5" t="str">
        <f t="shared" si="255"/>
        <v>SPS3</v>
      </c>
      <c r="C498" s="5" t="s">
        <v>7</v>
      </c>
      <c r="D498" t="s">
        <v>665</v>
      </c>
      <c r="E498" t="str">
        <f>E461</f>
        <v>PJ/yr.</v>
      </c>
      <c r="F498" s="1">
        <f>F476</f>
        <v>1.5807094672471558</v>
      </c>
      <c r="G498" s="1">
        <f t="shared" ref="G498:K498" si="301">G476</f>
        <v>1.7910618206601752</v>
      </c>
      <c r="H498" s="1">
        <f t="shared" si="301"/>
        <v>2.2085983060454901</v>
      </c>
      <c r="I498" s="1">
        <f t="shared" si="301"/>
        <v>1.7328160156957131</v>
      </c>
      <c r="J498" s="1">
        <f t="shared" si="301"/>
        <v>3.6795985017047528</v>
      </c>
      <c r="K498" s="1">
        <f t="shared" si="301"/>
        <v>4.7491299735350783</v>
      </c>
    </row>
    <row r="499" spans="1:11" x14ac:dyDescent="0.35">
      <c r="A499" s="5"/>
      <c r="B499" s="5" t="str">
        <f t="shared" si="255"/>
        <v>SPS3</v>
      </c>
      <c r="C499" s="5" t="s">
        <v>7</v>
      </c>
      <c r="D499" t="s">
        <v>666</v>
      </c>
      <c r="E499" t="str">
        <f>E463</f>
        <v>PJ/yr.</v>
      </c>
      <c r="F499" s="1">
        <f>IFERROR(F354/F322,0)*F477</f>
        <v>2.3541343799657173E-2</v>
      </c>
      <c r="G499" s="1">
        <f t="shared" ref="G499:K499" si="302">IFERROR(G354/G322,0)*G477</f>
        <v>1.8796713358693366E-2</v>
      </c>
      <c r="H499" s="1">
        <f t="shared" si="302"/>
        <v>9.0216596164719416E-5</v>
      </c>
      <c r="I499" s="1">
        <f t="shared" si="302"/>
        <v>1.1985991055687389E-3</v>
      </c>
      <c r="J499" s="1">
        <f t="shared" si="302"/>
        <v>1.7077663134120792E-4</v>
      </c>
      <c r="K499" s="1">
        <f t="shared" si="302"/>
        <v>4.5220223116730987E-4</v>
      </c>
    </row>
    <row r="500" spans="1:11" x14ac:dyDescent="0.35">
      <c r="A500" s="5"/>
      <c r="B500" s="5" t="str">
        <f t="shared" ref="B500:B563" si="303">B499</f>
        <v>SPS3</v>
      </c>
      <c r="C500" s="5" t="s">
        <v>7</v>
      </c>
      <c r="D500" t="s">
        <v>667</v>
      </c>
      <c r="E500" t="str">
        <f>E467</f>
        <v>PJ/yr.</v>
      </c>
      <c r="F500" s="1">
        <f>IFERROR(F355/F323,0)*F478</f>
        <v>0</v>
      </c>
      <c r="G500" s="1">
        <f t="shared" ref="G500:K500" si="304">IFERROR(G355/G323,0)*G478</f>
        <v>0</v>
      </c>
      <c r="H500" s="1">
        <f t="shared" si="304"/>
        <v>0</v>
      </c>
      <c r="I500" s="1">
        <f t="shared" si="304"/>
        <v>3.0625637384053217E-5</v>
      </c>
      <c r="J500" s="1">
        <f t="shared" si="304"/>
        <v>3.4362855911118298E-4</v>
      </c>
      <c r="K500" s="1">
        <f t="shared" si="304"/>
        <v>1.5091170481829774E-4</v>
      </c>
    </row>
    <row r="501" spans="1:11" x14ac:dyDescent="0.35">
      <c r="A501" s="5"/>
      <c r="B501" s="5" t="str">
        <f t="shared" si="303"/>
        <v>SPS3</v>
      </c>
      <c r="C501" s="5" t="s">
        <v>7</v>
      </c>
      <c r="D501" t="s">
        <v>898</v>
      </c>
      <c r="E501" t="str">
        <f>E405</f>
        <v>PJ/yr.</v>
      </c>
      <c r="F501" s="1">
        <f>SUM(F502:F503)</f>
        <v>3.31755797763077</v>
      </c>
      <c r="G501" s="1">
        <f t="shared" ref="G501:K501" si="305">SUM(G502:G503)</f>
        <v>3.304683120018264</v>
      </c>
      <c r="H501" s="1">
        <f t="shared" si="305"/>
        <v>4.7995295495245003</v>
      </c>
      <c r="I501" s="1">
        <f t="shared" si="305"/>
        <v>4.6782145667774424</v>
      </c>
      <c r="J501" s="1">
        <f t="shared" si="305"/>
        <v>4.4580733404918371</v>
      </c>
      <c r="K501" s="1">
        <f t="shared" si="305"/>
        <v>10.737530677476972</v>
      </c>
    </row>
    <row r="502" spans="1:11" x14ac:dyDescent="0.35">
      <c r="A502" s="5"/>
      <c r="B502" s="5" t="str">
        <f t="shared" si="303"/>
        <v>SPS3</v>
      </c>
      <c r="C502" s="5" t="s">
        <v>7</v>
      </c>
      <c r="D502" t="s">
        <v>217</v>
      </c>
      <c r="E502" t="str">
        <f>E406</f>
        <v>PJ/yr.</v>
      </c>
      <c r="F502" s="6">
        <f>'[1]Electricity and CHPs_IN'!B$44-F361</f>
        <v>3.31755797763077</v>
      </c>
      <c r="G502" s="6">
        <f>'[1]Electricity and CHPs_IN'!C$44-G361</f>
        <v>3.304683120018264</v>
      </c>
      <c r="H502" s="6">
        <f>'[1]Electricity and CHPs_IN'!D$44-H361</f>
        <v>4.7995295495245003</v>
      </c>
      <c r="I502" s="6">
        <f>'[1]Electricity and CHPs_IN'!E$44-I361</f>
        <v>4.6782145667774424</v>
      </c>
      <c r="J502" s="6">
        <f>'[1]Electricity and CHPs_IN'!F$44-J361</f>
        <v>4.4575810330657673</v>
      </c>
      <c r="K502" s="6">
        <f>'[1]Electricity and CHPs_IN'!G$44-K361</f>
        <v>9.1083881512885143E-4</v>
      </c>
    </row>
    <row r="503" spans="1:11" x14ac:dyDescent="0.35">
      <c r="A503" s="5"/>
      <c r="B503" s="5" t="str">
        <f t="shared" si="303"/>
        <v>SPS3</v>
      </c>
      <c r="C503" s="5" t="s">
        <v>7</v>
      </c>
      <c r="D503" t="s">
        <v>218</v>
      </c>
      <c r="E503" t="str">
        <f>E407</f>
        <v>PJ/yr.</v>
      </c>
      <c r="F503" s="1">
        <f>'[1]Electricity and CHPs_IN'!B$45</f>
        <v>0</v>
      </c>
      <c r="G503" s="1">
        <f>'[1]Electricity and CHPs_IN'!C$45</f>
        <v>0</v>
      </c>
      <c r="H503" s="1">
        <f>'[1]Electricity and CHPs_IN'!D$45</f>
        <v>0</v>
      </c>
      <c r="I503" s="1">
        <f>'[1]Electricity and CHPs_IN'!E$45</f>
        <v>0</v>
      </c>
      <c r="J503" s="1">
        <f>'[1]Electricity and CHPs_IN'!F$45</f>
        <v>4.9230742606977006E-4</v>
      </c>
      <c r="K503" s="1">
        <f>'[1]Electricity and CHPs_IN'!G$45</f>
        <v>10.736619838661843</v>
      </c>
    </row>
    <row r="504" spans="1:11" x14ac:dyDescent="0.35">
      <c r="A504" s="5"/>
      <c r="B504" s="5" t="str">
        <f t="shared" si="303"/>
        <v>SPS3</v>
      </c>
      <c r="C504" s="5" t="s">
        <v>7</v>
      </c>
      <c r="D504" t="s">
        <v>899</v>
      </c>
      <c r="E504" t="str">
        <f>E407</f>
        <v>PJ/yr.</v>
      </c>
      <c r="F504" s="1">
        <f>SUM(F505:F506)</f>
        <v>0</v>
      </c>
      <c r="G504" s="1">
        <f t="shared" ref="G504:K504" si="306">SUM(G505:G506)</f>
        <v>0</v>
      </c>
      <c r="H504" s="1">
        <f t="shared" si="306"/>
        <v>0</v>
      </c>
      <c r="I504" s="1">
        <f t="shared" si="306"/>
        <v>0</v>
      </c>
      <c r="J504" s="1">
        <f t="shared" si="306"/>
        <v>0</v>
      </c>
      <c r="K504" s="1">
        <f t="shared" si="306"/>
        <v>0</v>
      </c>
    </row>
    <row r="505" spans="1:11" x14ac:dyDescent="0.35">
      <c r="A505" s="5"/>
      <c r="B505" s="5" t="str">
        <f t="shared" si="303"/>
        <v>SPS3</v>
      </c>
      <c r="C505" s="5" t="s">
        <v>7</v>
      </c>
      <c r="D505" t="s">
        <v>219</v>
      </c>
      <c r="E505" t="str">
        <f>E408</f>
        <v>PJ/yr.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</row>
    <row r="506" spans="1:11" x14ac:dyDescent="0.35">
      <c r="A506" s="5"/>
      <c r="B506" s="5" t="str">
        <f t="shared" si="303"/>
        <v>SPS3</v>
      </c>
      <c r="C506" s="5" t="s">
        <v>7</v>
      </c>
      <c r="D506" t="s">
        <v>220</v>
      </c>
      <c r="E506" t="str">
        <f>E409</f>
        <v>PJ/yr.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x14ac:dyDescent="0.35">
      <c r="A507" s="5"/>
      <c r="B507" s="5" t="str">
        <f t="shared" si="303"/>
        <v>SPS3</v>
      </c>
      <c r="C507" s="5" t="s">
        <v>7</v>
      </c>
      <c r="D507" t="s">
        <v>900</v>
      </c>
      <c r="E507" t="str">
        <f>E410</f>
        <v>PJ/yr.</v>
      </c>
      <c r="F507" s="1">
        <f>SUM(F508:F509)</f>
        <v>3.31755797763077</v>
      </c>
      <c r="G507" s="1">
        <f t="shared" ref="G507:K507" si="307">SUM(G508:G509)</f>
        <v>3.304683120018264</v>
      </c>
      <c r="H507" s="1">
        <f t="shared" si="307"/>
        <v>4.7995295495245003</v>
      </c>
      <c r="I507" s="1">
        <f t="shared" si="307"/>
        <v>4.6782145667774424</v>
      </c>
      <c r="J507" s="1">
        <f t="shared" si="307"/>
        <v>4.4580733404918371</v>
      </c>
      <c r="K507" s="1">
        <f t="shared" si="307"/>
        <v>10.737530677476972</v>
      </c>
    </row>
    <row r="508" spans="1:11" x14ac:dyDescent="0.35">
      <c r="A508" s="5"/>
      <c r="B508" s="5" t="str">
        <f t="shared" si="303"/>
        <v>SPS3</v>
      </c>
      <c r="C508" s="5" t="s">
        <v>7</v>
      </c>
      <c r="D508" t="s">
        <v>221</v>
      </c>
      <c r="E508" t="str">
        <f>E411</f>
        <v>PJ/yr.</v>
      </c>
      <c r="F508" s="1">
        <f>F502</f>
        <v>3.31755797763077</v>
      </c>
      <c r="G508" s="1">
        <f t="shared" ref="G508:K508" si="308">G502</f>
        <v>3.304683120018264</v>
      </c>
      <c r="H508" s="1">
        <f t="shared" si="308"/>
        <v>4.7995295495245003</v>
      </c>
      <c r="I508" s="1">
        <f t="shared" si="308"/>
        <v>4.6782145667774424</v>
      </c>
      <c r="J508" s="1">
        <f t="shared" si="308"/>
        <v>4.4575810330657673</v>
      </c>
      <c r="K508" s="1">
        <f t="shared" si="308"/>
        <v>9.1083881512885143E-4</v>
      </c>
    </row>
    <row r="509" spans="1:11" x14ac:dyDescent="0.35">
      <c r="A509" s="5"/>
      <c r="B509" s="5" t="str">
        <f t="shared" si="303"/>
        <v>SPS3</v>
      </c>
      <c r="C509" s="5" t="s">
        <v>7</v>
      </c>
      <c r="D509" t="s">
        <v>222</v>
      </c>
      <c r="E509" t="str">
        <f>E415</f>
        <v>PJ/yr.</v>
      </c>
      <c r="F509" s="1">
        <f>F503</f>
        <v>0</v>
      </c>
      <c r="G509" s="1">
        <f t="shared" ref="G509:K509" si="309">G503</f>
        <v>0</v>
      </c>
      <c r="H509" s="1">
        <f t="shared" si="309"/>
        <v>0</v>
      </c>
      <c r="I509" s="1">
        <f t="shared" si="309"/>
        <v>0</v>
      </c>
      <c r="J509" s="1">
        <f t="shared" si="309"/>
        <v>4.9230742606977006E-4</v>
      </c>
      <c r="K509" s="1">
        <f t="shared" si="309"/>
        <v>10.736619838661843</v>
      </c>
    </row>
    <row r="510" spans="1:11" x14ac:dyDescent="0.35">
      <c r="A510" s="5"/>
      <c r="B510" s="5" t="str">
        <f t="shared" si="303"/>
        <v>SPS3</v>
      </c>
      <c r="C510" s="5" t="s">
        <v>7</v>
      </c>
      <c r="D510" t="s">
        <v>901</v>
      </c>
      <c r="E510" t="str">
        <f>E416</f>
        <v>PJ/yr.</v>
      </c>
      <c r="F510" s="1">
        <f>SUM(F511:F515)</f>
        <v>0.69182987210450075</v>
      </c>
      <c r="G510" s="1">
        <f t="shared" ref="G510:K510" si="310">SUM(G511:G515)</f>
        <v>0.56397476773432376</v>
      </c>
      <c r="H510" s="1">
        <f t="shared" si="310"/>
        <v>3.3762403031742121</v>
      </c>
      <c r="I510" s="1">
        <f t="shared" si="310"/>
        <v>4.8007369726020181</v>
      </c>
      <c r="J510" s="1">
        <f t="shared" si="310"/>
        <v>6.7939936294999388</v>
      </c>
      <c r="K510" s="1">
        <f t="shared" si="310"/>
        <v>7.4545451235910596</v>
      </c>
    </row>
    <row r="511" spans="1:11" x14ac:dyDescent="0.35">
      <c r="A511" s="5"/>
      <c r="B511" s="5" t="str">
        <f t="shared" si="303"/>
        <v>SPS3</v>
      </c>
      <c r="C511" s="5" t="s">
        <v>7</v>
      </c>
      <c r="D511" t="s">
        <v>223</v>
      </c>
      <c r="E511" t="str">
        <f>E417</f>
        <v>PJ/yr.</v>
      </c>
      <c r="F511" s="6">
        <f>'[1]Electricity and CHPs_IN'!B$42-F380</f>
        <v>0.69182987210450075</v>
      </c>
      <c r="G511" s="6">
        <f>'[1]Electricity and CHPs_IN'!C$42-G380</f>
        <v>0.56397476773432376</v>
      </c>
      <c r="H511" s="6">
        <f>'[1]Electricity and CHPs_IN'!D$42-H380</f>
        <v>3.3762403031742121</v>
      </c>
      <c r="I511" s="6">
        <f>'[1]Electricity and CHPs_IN'!E$42-I380</f>
        <v>4.7822889543409044</v>
      </c>
      <c r="J511" s="6">
        <f>'[1]Electricity and CHPs_IN'!F$42-J380</f>
        <v>4.8732185758986466</v>
      </c>
      <c r="K511" s="6">
        <f>'[1]Electricity and CHPs_IN'!G$42-K380</f>
        <v>2.992316910985366</v>
      </c>
    </row>
    <row r="512" spans="1:11" x14ac:dyDescent="0.35">
      <c r="A512" s="5"/>
      <c r="B512" s="5" t="str">
        <f t="shared" si="303"/>
        <v>SPS3</v>
      </c>
      <c r="C512" s="5" t="s">
        <v>7</v>
      </c>
      <c r="D512" t="s">
        <v>224</v>
      </c>
      <c r="E512" t="str">
        <f>E418</f>
        <v>PJ/yr.</v>
      </c>
      <c r="F512" s="1">
        <f>'[1]Electricity and CHPs_IN'!B$43-F381</f>
        <v>0</v>
      </c>
      <c r="G512" s="1">
        <f>'[1]Electricity and CHPs_IN'!C$43-G381</f>
        <v>0</v>
      </c>
      <c r="H512" s="1">
        <f>'[1]Electricity and CHPs_IN'!D$43-H381</f>
        <v>0</v>
      </c>
      <c r="I512" s="1">
        <f>'[1]Electricity and CHPs_IN'!E$43-I381</f>
        <v>0</v>
      </c>
      <c r="J512" s="1">
        <f>'[1]Electricity and CHPs_IN'!F$43-J381</f>
        <v>1.9149798816331094</v>
      </c>
      <c r="K512" s="1">
        <f>'[1]Electricity and CHPs_IN'!G$43-K381</f>
        <v>4.4524132957130611</v>
      </c>
    </row>
    <row r="513" spans="1:11" x14ac:dyDescent="0.35">
      <c r="A513" s="5"/>
      <c r="B513" s="5" t="str">
        <f t="shared" si="303"/>
        <v>SPS3</v>
      </c>
      <c r="C513" s="5" t="s">
        <v>7</v>
      </c>
      <c r="D513" t="s">
        <v>225</v>
      </c>
      <c r="E513" t="str">
        <f>E440</f>
        <v>PJ/yr.</v>
      </c>
      <c r="F513" s="1">
        <f>'[1]Electricity and CHPs_IN'!B$50-F382</f>
        <v>0</v>
      </c>
      <c r="G513" s="1">
        <f>'[1]Electricity and CHPs_IN'!C$50-G382</f>
        <v>0</v>
      </c>
      <c r="H513" s="1">
        <f>'[1]Electricity and CHPs_IN'!D$50-H382</f>
        <v>0</v>
      </c>
      <c r="I513" s="1">
        <f>'[1]Electricity and CHPs_IN'!E$50-I382</f>
        <v>7.2488410067968103E-3</v>
      </c>
      <c r="J513" s="1">
        <f>'[1]Electricity and CHPs_IN'!F$50-J382</f>
        <v>2.2848812670404682E-3</v>
      </c>
      <c r="K513" s="1">
        <f>'[1]Electricity and CHPs_IN'!G$50-K382</f>
        <v>2.3998340545447563E-3</v>
      </c>
    </row>
    <row r="514" spans="1:11" x14ac:dyDescent="0.35">
      <c r="A514" s="5"/>
      <c r="B514" s="5" t="str">
        <f t="shared" si="303"/>
        <v>SPS3</v>
      </c>
      <c r="C514" s="5" t="s">
        <v>7</v>
      </c>
      <c r="D514" t="s">
        <v>226</v>
      </c>
      <c r="E514" t="str">
        <f>E444</f>
        <v>PJ/yr.</v>
      </c>
      <c r="F514" s="1">
        <f>'[1]Electricity and CHPs_IN'!B$53-F383</f>
        <v>0</v>
      </c>
      <c r="G514" s="1">
        <f>'[1]Electricity and CHPs_IN'!C$53-G383</f>
        <v>0</v>
      </c>
      <c r="H514" s="1">
        <f>'[1]Electricity and CHPs_IN'!D$53-H383</f>
        <v>0</v>
      </c>
      <c r="I514" s="1">
        <f>'[1]Electricity and CHPs_IN'!E$53-I383</f>
        <v>8.4674775126429933E-3</v>
      </c>
      <c r="J514" s="1">
        <f>'[1]Electricity and CHPs_IN'!F$53-J383</f>
        <v>2.9455565828142814E-3</v>
      </c>
      <c r="K514" s="1">
        <f>'[1]Electricity and CHPs_IN'!G$53-K383</f>
        <v>4.3875656296304862E-3</v>
      </c>
    </row>
    <row r="515" spans="1:11" x14ac:dyDescent="0.35">
      <c r="A515" s="5"/>
      <c r="B515" s="5" t="str">
        <f t="shared" si="303"/>
        <v>SPS3</v>
      </c>
      <c r="C515" s="5" t="s">
        <v>7</v>
      </c>
      <c r="D515" t="s">
        <v>238</v>
      </c>
      <c r="E515" t="str">
        <f>E469</f>
        <v>PJ/yr.</v>
      </c>
      <c r="F515" s="1">
        <f>'[1]Electricity and CHPs_IN'!B$56-F384</f>
        <v>0</v>
      </c>
      <c r="G515" s="1">
        <f>'[1]Electricity and CHPs_IN'!C$56-G384</f>
        <v>0</v>
      </c>
      <c r="H515" s="1">
        <f>'[1]Electricity and CHPs_IN'!D$56-H384</f>
        <v>0</v>
      </c>
      <c r="I515" s="1">
        <f>'[1]Electricity and CHPs_IN'!E$56-I384</f>
        <v>2.7316997416733614E-3</v>
      </c>
      <c r="J515" s="1">
        <f>'[1]Electricity and CHPs_IN'!F$56-J384</f>
        <v>5.6473411832871348E-4</v>
      </c>
      <c r="K515" s="1">
        <f>'[1]Electricity and CHPs_IN'!G$56-K384</f>
        <v>3.027517208456489E-3</v>
      </c>
    </row>
    <row r="516" spans="1:11" x14ac:dyDescent="0.35">
      <c r="A516" s="5"/>
      <c r="B516" s="5" t="str">
        <f t="shared" si="303"/>
        <v>SPS3</v>
      </c>
      <c r="C516" s="5" t="s">
        <v>7</v>
      </c>
      <c r="D516" t="s">
        <v>902</v>
      </c>
      <c r="E516" t="str">
        <f>E423</f>
        <v>PJ/yr.</v>
      </c>
      <c r="F516" s="1">
        <f>SUM(F517:F518)</f>
        <v>0</v>
      </c>
      <c r="G516" s="1">
        <f t="shared" ref="G516:K516" si="311">SUM(G517:G518)</f>
        <v>0</v>
      </c>
      <c r="H516" s="1">
        <f t="shared" si="311"/>
        <v>0</v>
      </c>
      <c r="I516" s="1">
        <f t="shared" si="311"/>
        <v>3.1991365434675375E-3</v>
      </c>
      <c r="J516" s="1">
        <f t="shared" si="311"/>
        <v>3.8477452429052181E-3</v>
      </c>
      <c r="K516" s="1">
        <f t="shared" si="311"/>
        <v>2.1465113794922814</v>
      </c>
    </row>
    <row r="517" spans="1:11" x14ac:dyDescent="0.35">
      <c r="A517" s="5"/>
      <c r="B517" s="5" t="str">
        <f t="shared" si="303"/>
        <v>SPS3</v>
      </c>
      <c r="C517" s="5" t="s">
        <v>7</v>
      </c>
      <c r="D517" t="s">
        <v>227</v>
      </c>
      <c r="E517" t="str">
        <f>E424</f>
        <v>PJ/yr.</v>
      </c>
      <c r="F517" s="1">
        <f>'[1]Electricity and CHPs_IN'!B$46-F397</f>
        <v>0</v>
      </c>
      <c r="G517" s="1">
        <f>'[1]Electricity and CHPs_IN'!C$46-G397</f>
        <v>0</v>
      </c>
      <c r="H517" s="1">
        <f>'[1]Electricity and CHPs_IN'!D$46-H397</f>
        <v>0</v>
      </c>
      <c r="I517" s="1">
        <f>'[1]Electricity and CHPs_IN'!E$46-I397</f>
        <v>0</v>
      </c>
      <c r="J517" s="1">
        <f>'[1]Electricity and CHPs_IN'!F$46-J397</f>
        <v>3.2476460441972742E-3</v>
      </c>
      <c r="K517" s="1">
        <f>'[1]Electricity and CHPs_IN'!G$46-K397</f>
        <v>2.1252919206488858</v>
      </c>
    </row>
    <row r="518" spans="1:11" x14ac:dyDescent="0.35">
      <c r="A518" s="5"/>
      <c r="B518" s="5" t="str">
        <f t="shared" si="303"/>
        <v>SPS3</v>
      </c>
      <c r="C518" s="5" t="s">
        <v>7</v>
      </c>
      <c r="D518" t="s">
        <v>239</v>
      </c>
      <c r="E518" t="str">
        <f>E471</f>
        <v>PJ/yr.</v>
      </c>
      <c r="F518" s="1">
        <f>'[1]Electricity and CHPs_IN'!B$57-F398</f>
        <v>0</v>
      </c>
      <c r="G518" s="1">
        <f>'[1]Electricity and CHPs_IN'!C$57-G398</f>
        <v>0</v>
      </c>
      <c r="H518" s="1">
        <f>'[1]Electricity and CHPs_IN'!D$57-H398</f>
        <v>0</v>
      </c>
      <c r="I518" s="1">
        <f>'[1]Electricity and CHPs_IN'!E$57-I398</f>
        <v>3.1991365434675375E-3</v>
      </c>
      <c r="J518" s="1">
        <f>'[1]Electricity and CHPs_IN'!F$57-J398</f>
        <v>6.0009919870794418E-4</v>
      </c>
      <c r="K518" s="1">
        <f>'[1]Electricity and CHPs_IN'!G$57-K398</f>
        <v>2.1219458843395822E-2</v>
      </c>
    </row>
    <row r="519" spans="1:11" x14ac:dyDescent="0.35">
      <c r="A519" s="5"/>
      <c r="B519" s="9" t="str">
        <f t="shared" si="303"/>
        <v>SPS3</v>
      </c>
      <c r="C519" s="9" t="s">
        <v>7</v>
      </c>
      <c r="D519" s="2" t="s">
        <v>241</v>
      </c>
      <c r="E519" s="5" t="s">
        <v>240</v>
      </c>
      <c r="F519" s="12" t="s">
        <v>292</v>
      </c>
      <c r="G519" s="12" t="s">
        <v>292</v>
      </c>
      <c r="H519" s="12" t="s">
        <v>292</v>
      </c>
      <c r="I519" s="12" t="s">
        <v>292</v>
      </c>
      <c r="J519" s="12" t="s">
        <v>292</v>
      </c>
      <c r="K519" s="12" t="s">
        <v>292</v>
      </c>
    </row>
    <row r="520" spans="1:11" x14ac:dyDescent="0.35">
      <c r="A520" s="5"/>
      <c r="B520" s="5" t="str">
        <f t="shared" si="303"/>
        <v>SPS3</v>
      </c>
      <c r="C520" s="5" t="s">
        <v>7</v>
      </c>
      <c r="D520" t="s">
        <v>242</v>
      </c>
      <c r="E520" s="5" t="s">
        <v>240</v>
      </c>
      <c r="F520" s="13">
        <f t="shared" ref="F520:K520" si="312">IFERROR(F63/F291,"-")</f>
        <v>0.32978913440441771</v>
      </c>
      <c r="G520" s="13">
        <f t="shared" si="312"/>
        <v>0.32672704624696625</v>
      </c>
      <c r="H520" s="13">
        <f t="shared" si="312"/>
        <v>0.32559073515921455</v>
      </c>
      <c r="I520" s="13">
        <f t="shared" si="312"/>
        <v>0.33018789680482008</v>
      </c>
      <c r="J520" s="13">
        <f t="shared" si="312"/>
        <v>0.33170584005147608</v>
      </c>
      <c r="K520" s="13" t="str">
        <f t="shared" si="312"/>
        <v>-</v>
      </c>
    </row>
    <row r="521" spans="1:11" x14ac:dyDescent="0.35">
      <c r="A521" s="5"/>
      <c r="B521" s="5" t="str">
        <f t="shared" si="303"/>
        <v>SPS3</v>
      </c>
      <c r="C521" s="5" t="s">
        <v>7</v>
      </c>
      <c r="D521" t="s">
        <v>243</v>
      </c>
      <c r="E521" s="5" t="s">
        <v>240</v>
      </c>
      <c r="F521" s="13">
        <f t="shared" ref="F521:K523" si="313">IFERROR(F65/F293,"-")</f>
        <v>1</v>
      </c>
      <c r="G521" s="13">
        <f t="shared" si="313"/>
        <v>1</v>
      </c>
      <c r="H521" s="13">
        <f t="shared" si="313"/>
        <v>1</v>
      </c>
      <c r="I521" s="13">
        <f t="shared" si="313"/>
        <v>1</v>
      </c>
      <c r="J521" s="13">
        <f t="shared" si="313"/>
        <v>1</v>
      </c>
      <c r="K521" s="13">
        <f t="shared" si="313"/>
        <v>1</v>
      </c>
    </row>
    <row r="522" spans="1:11" x14ac:dyDescent="0.35">
      <c r="A522" s="5"/>
      <c r="B522" s="5" t="str">
        <f t="shared" si="303"/>
        <v>SPS3</v>
      </c>
      <c r="C522" s="5" t="s">
        <v>7</v>
      </c>
      <c r="D522" t="s">
        <v>244</v>
      </c>
      <c r="E522" s="5" t="s">
        <v>240</v>
      </c>
      <c r="F522" s="13">
        <f t="shared" si="313"/>
        <v>1</v>
      </c>
      <c r="G522" s="13">
        <f t="shared" si="313"/>
        <v>1</v>
      </c>
      <c r="H522" s="13">
        <f t="shared" si="313"/>
        <v>1</v>
      </c>
      <c r="I522" s="13">
        <f t="shared" si="313"/>
        <v>1</v>
      </c>
      <c r="J522" s="13">
        <f t="shared" si="313"/>
        <v>1</v>
      </c>
      <c r="K522" s="13">
        <f t="shared" si="313"/>
        <v>1</v>
      </c>
    </row>
    <row r="523" spans="1:11" x14ac:dyDescent="0.35">
      <c r="A523" s="5"/>
      <c r="B523" s="5" t="str">
        <f t="shared" si="303"/>
        <v>SPS3</v>
      </c>
      <c r="C523" s="5" t="s">
        <v>7</v>
      </c>
      <c r="D523" t="s">
        <v>245</v>
      </c>
      <c r="E523" s="5" t="s">
        <v>240</v>
      </c>
      <c r="F523" s="13">
        <f t="shared" si="313"/>
        <v>0.79999974301758914</v>
      </c>
      <c r="G523" s="13">
        <f t="shared" si="313"/>
        <v>0.79999963023360243</v>
      </c>
      <c r="H523" s="13">
        <f t="shared" si="313"/>
        <v>0.7999994307644589</v>
      </c>
      <c r="I523" s="13">
        <f t="shared" si="313"/>
        <v>0.80000005484514214</v>
      </c>
      <c r="J523" s="13">
        <f t="shared" si="313"/>
        <v>0.80000031117433101</v>
      </c>
      <c r="K523" s="13">
        <f t="shared" si="313"/>
        <v>0.8000002056243618</v>
      </c>
    </row>
    <row r="524" spans="1:11" x14ac:dyDescent="0.35">
      <c r="A524" s="5"/>
      <c r="B524" s="5" t="str">
        <f t="shared" si="303"/>
        <v>SPS3</v>
      </c>
      <c r="C524" s="5" t="s">
        <v>7</v>
      </c>
      <c r="D524" t="s">
        <v>246</v>
      </c>
      <c r="E524" s="5" t="s">
        <v>240</v>
      </c>
      <c r="F524" s="13">
        <f>IFERROR(F69/F297,"-")</f>
        <v>0.29635638950092308</v>
      </c>
      <c r="G524" s="13">
        <f t="shared" ref="G524:K524" si="314">IFERROR(G69/G297,"-")</f>
        <v>7.5666399375126479E-5</v>
      </c>
      <c r="H524" s="13">
        <f t="shared" si="314"/>
        <v>0.34076966173930207</v>
      </c>
      <c r="I524" s="13">
        <f t="shared" si="314"/>
        <v>0.29061851812983336</v>
      </c>
      <c r="J524" s="13">
        <f t="shared" si="314"/>
        <v>0.29768709968643237</v>
      </c>
      <c r="K524" s="13">
        <f t="shared" si="314"/>
        <v>0.28506968008659511</v>
      </c>
    </row>
    <row r="525" spans="1:11" x14ac:dyDescent="0.35">
      <c r="A525" s="5"/>
      <c r="B525" s="5" t="str">
        <f t="shared" si="303"/>
        <v>SPS3</v>
      </c>
      <c r="C525" s="5" t="s">
        <v>7</v>
      </c>
      <c r="D525" t="s">
        <v>247</v>
      </c>
      <c r="E525" s="5" t="s">
        <v>240</v>
      </c>
      <c r="F525" s="13">
        <f>IFERROR(F70/(F298+F411),"-")</f>
        <v>5.8880645798797884E-2</v>
      </c>
      <c r="G525" s="13">
        <f t="shared" ref="G525:K525" si="315">IFERROR(G70/(G298+G411),"-")</f>
        <v>5.8035605106848013E-5</v>
      </c>
      <c r="H525" s="13">
        <f t="shared" si="315"/>
        <v>8.9596871863190874E-2</v>
      </c>
      <c r="I525" s="13">
        <f t="shared" si="315"/>
        <v>0.10296148027051699</v>
      </c>
      <c r="J525" s="13">
        <f t="shared" si="315"/>
        <v>0.10306651197596454</v>
      </c>
      <c r="K525" s="13">
        <f t="shared" si="315"/>
        <v>7.7495250778008076E-2</v>
      </c>
    </row>
    <row r="526" spans="1:11" x14ac:dyDescent="0.35">
      <c r="A526" s="5"/>
      <c r="B526" s="5" t="str">
        <f t="shared" si="303"/>
        <v>SPS3</v>
      </c>
      <c r="C526" s="5" t="s">
        <v>7</v>
      </c>
      <c r="D526" t="s">
        <v>248</v>
      </c>
      <c r="E526" s="5" t="s">
        <v>240</v>
      </c>
      <c r="F526" s="13">
        <f>IFERROR(F71/(F299+F463),"-")</f>
        <v>0.23012599592551036</v>
      </c>
      <c r="G526" s="13">
        <f t="shared" ref="G526:K526" si="316">IFERROR(G71/(G299+G463),"-")</f>
        <v>0.24657249659227917</v>
      </c>
      <c r="H526" s="13">
        <f t="shared" si="316"/>
        <v>0.22118122261223672</v>
      </c>
      <c r="I526" s="13">
        <f t="shared" si="316"/>
        <v>0.26338607973804673</v>
      </c>
      <c r="J526" s="13">
        <f t="shared" si="316"/>
        <v>0.25313015806731287</v>
      </c>
      <c r="K526" s="13">
        <f t="shared" si="316"/>
        <v>0.20042818147081626</v>
      </c>
    </row>
    <row r="527" spans="1:11" x14ac:dyDescent="0.35">
      <c r="A527" s="5"/>
      <c r="B527" s="5" t="str">
        <f t="shared" si="303"/>
        <v>SPS3</v>
      </c>
      <c r="C527" s="5" t="s">
        <v>7</v>
      </c>
      <c r="D527" t="s">
        <v>249</v>
      </c>
      <c r="E527" s="5" t="s">
        <v>240</v>
      </c>
      <c r="F527" s="13" t="str">
        <f>IFERROR(F81/F309,"-")</f>
        <v>-</v>
      </c>
      <c r="G527" s="13" t="str">
        <f t="shared" ref="G527:K527" si="317">IFERROR(G81/G309,"-")</f>
        <v>-</v>
      </c>
      <c r="H527" s="13" t="str">
        <f t="shared" si="317"/>
        <v>-</v>
      </c>
      <c r="I527" s="13" t="str">
        <f t="shared" si="317"/>
        <v>-</v>
      </c>
      <c r="J527" s="13">
        <f t="shared" si="317"/>
        <v>0.55742386861374993</v>
      </c>
      <c r="K527" s="13">
        <f t="shared" si="317"/>
        <v>0.62516282011784552</v>
      </c>
    </row>
    <row r="528" spans="1:11" x14ac:dyDescent="0.35">
      <c r="A528" s="5"/>
      <c r="B528" s="5" t="str">
        <f t="shared" si="303"/>
        <v>SPS3</v>
      </c>
      <c r="C528" s="5" t="s">
        <v>7</v>
      </c>
      <c r="D528" t="s">
        <v>250</v>
      </c>
      <c r="E528" s="5" t="s">
        <v>240</v>
      </c>
      <c r="F528" s="13" t="str">
        <f>IFERROR(F82/F310,"-")</f>
        <v>-</v>
      </c>
      <c r="G528" s="13" t="str">
        <f t="shared" ref="G528:K528" si="318">IFERROR(G82/G310,"-")</f>
        <v>-</v>
      </c>
      <c r="H528" s="13" t="str">
        <f t="shared" si="318"/>
        <v>-</v>
      </c>
      <c r="I528" s="13">
        <f t="shared" si="318"/>
        <v>0.36959302397772759</v>
      </c>
      <c r="J528" s="13">
        <f t="shared" si="318"/>
        <v>0.35852991954825308</v>
      </c>
      <c r="K528" s="13">
        <f t="shared" si="318"/>
        <v>0.39871000813879248</v>
      </c>
    </row>
    <row r="529" spans="1:11" x14ac:dyDescent="0.35">
      <c r="A529" s="5"/>
      <c r="B529" s="5" t="str">
        <f t="shared" si="303"/>
        <v>SPS3</v>
      </c>
      <c r="C529" s="5" t="s">
        <v>7</v>
      </c>
      <c r="D529" t="s">
        <v>251</v>
      </c>
      <c r="E529" s="5" t="s">
        <v>240</v>
      </c>
      <c r="F529" s="13" t="str">
        <f>IFERROR(F83/F311,"-")</f>
        <v>-</v>
      </c>
      <c r="G529" s="13" t="str">
        <f t="shared" ref="G529:K529" si="319">IFERROR(G83/G311,"-")</f>
        <v>-</v>
      </c>
      <c r="H529" s="13" t="str">
        <f t="shared" si="319"/>
        <v>-</v>
      </c>
      <c r="I529" s="13" t="str">
        <f t="shared" si="319"/>
        <v>-</v>
      </c>
      <c r="J529" s="13">
        <f t="shared" si="319"/>
        <v>0.45946491136062717</v>
      </c>
      <c r="K529" s="13">
        <f t="shared" si="319"/>
        <v>0.54785490431687967</v>
      </c>
    </row>
    <row r="530" spans="1:11" x14ac:dyDescent="0.35">
      <c r="A530" s="5"/>
      <c r="B530" s="5" t="str">
        <f t="shared" si="303"/>
        <v>SPS3</v>
      </c>
      <c r="C530" s="5" t="s">
        <v>7</v>
      </c>
      <c r="D530" t="s">
        <v>252</v>
      </c>
      <c r="E530" s="5" t="s">
        <v>240</v>
      </c>
      <c r="F530" s="13">
        <f>IFERROR(F84/SUM(F312,F417),"-")</f>
        <v>0.26087986689824239</v>
      </c>
      <c r="G530" s="13">
        <f t="shared" ref="G530:K530" si="320">IFERROR(G84/SUM(G312,G417),"-")</f>
        <v>0.20480845461557659</v>
      </c>
      <c r="H530" s="13">
        <f t="shared" si="320"/>
        <v>2.5890714880336251E-2</v>
      </c>
      <c r="I530" s="13">
        <f t="shared" si="320"/>
        <v>0.2311393664645795</v>
      </c>
      <c r="J530" s="13">
        <f t="shared" si="320"/>
        <v>0.24029972899286739</v>
      </c>
      <c r="K530" s="13">
        <f t="shared" si="320"/>
        <v>0.19725393541417741</v>
      </c>
    </row>
    <row r="531" spans="1:11" x14ac:dyDescent="0.35">
      <c r="A531" s="5"/>
      <c r="B531" s="5" t="str">
        <f t="shared" si="303"/>
        <v>SPS3</v>
      </c>
      <c r="C531" s="5" t="s">
        <v>7</v>
      </c>
      <c r="D531" t="s">
        <v>253</v>
      </c>
      <c r="E531" s="5" t="s">
        <v>240</v>
      </c>
      <c r="F531" s="13" t="str">
        <f>IFERROR(F85/SUM(F313,F418),"-")</f>
        <v>-</v>
      </c>
      <c r="G531" s="13" t="str">
        <f t="shared" ref="G531:K531" si="321">IFERROR(G85/SUM(G313,G418),"-")</f>
        <v>-</v>
      </c>
      <c r="H531" s="13" t="str">
        <f t="shared" si="321"/>
        <v>-</v>
      </c>
      <c r="I531" s="13" t="str">
        <f t="shared" si="321"/>
        <v>-</v>
      </c>
      <c r="J531" s="13">
        <f t="shared" si="321"/>
        <v>0.39999999999999997</v>
      </c>
      <c r="K531" s="13">
        <f t="shared" si="321"/>
        <v>0.3999999999999998</v>
      </c>
    </row>
    <row r="532" spans="1:11" x14ac:dyDescent="0.35">
      <c r="A532" s="5"/>
      <c r="B532" s="5" t="str">
        <f t="shared" si="303"/>
        <v>SPS3</v>
      </c>
      <c r="C532" s="5" t="s">
        <v>7</v>
      </c>
      <c r="D532" t="s">
        <v>254</v>
      </c>
      <c r="E532" s="5" t="s">
        <v>240</v>
      </c>
      <c r="F532" s="13">
        <f>IFERROR(F86/SUM(F314,F469),"-'")</f>
        <v>0.34674965030371602</v>
      </c>
      <c r="G532" s="13">
        <f t="shared" ref="G532:K532" si="322">IFERROR(G86/SUM(G314,G469),"-'")</f>
        <v>0.35194426432859699</v>
      </c>
      <c r="H532" s="13">
        <f t="shared" si="322"/>
        <v>0.34164004199032477</v>
      </c>
      <c r="I532" s="13">
        <f t="shared" si="322"/>
        <v>0.35962969542238182</v>
      </c>
      <c r="J532" s="13">
        <f t="shared" si="322"/>
        <v>0.33513326130033672</v>
      </c>
      <c r="K532" s="13">
        <f t="shared" si="322"/>
        <v>0.19686142605359755</v>
      </c>
    </row>
    <row r="533" spans="1:11" x14ac:dyDescent="0.35">
      <c r="A533" s="5"/>
      <c r="B533" s="5" t="str">
        <f t="shared" si="303"/>
        <v>SPS3</v>
      </c>
      <c r="C533" s="5" t="s">
        <v>7</v>
      </c>
      <c r="D533" t="s">
        <v>255</v>
      </c>
      <c r="E533" s="5" t="s">
        <v>240</v>
      </c>
      <c r="F533" s="13" t="str">
        <f t="shared" ref="F533:F541" si="323">IFERROR(F87/SUM(F315,F470),"-")</f>
        <v>-</v>
      </c>
      <c r="G533" s="13" t="str">
        <f t="shared" ref="G533:K533" si="324">IFERROR(G87/SUM(G315,G470),"-")</f>
        <v>-</v>
      </c>
      <c r="H533" s="13" t="str">
        <f t="shared" si="324"/>
        <v>-</v>
      </c>
      <c r="I533" s="13" t="str">
        <f t="shared" si="324"/>
        <v>-</v>
      </c>
      <c r="J533" s="13">
        <f t="shared" si="324"/>
        <v>0.29042508822861907</v>
      </c>
      <c r="K533" s="13">
        <f t="shared" si="324"/>
        <v>0.31095259810954162</v>
      </c>
    </row>
    <row r="534" spans="1:11" x14ac:dyDescent="0.35">
      <c r="A534" s="5"/>
      <c r="B534" s="5" t="str">
        <f t="shared" si="303"/>
        <v>SPS3</v>
      </c>
      <c r="C534" s="5" t="s">
        <v>7</v>
      </c>
      <c r="D534" t="s">
        <v>256</v>
      </c>
      <c r="E534" s="5" t="s">
        <v>240</v>
      </c>
      <c r="F534" s="13" t="str">
        <f t="shared" si="323"/>
        <v>-</v>
      </c>
      <c r="G534" s="13" t="str">
        <f t="shared" ref="G534:K534" si="325">IFERROR(G88/SUM(G316,G471),"-")</f>
        <v>-</v>
      </c>
      <c r="H534" s="13" t="str">
        <f t="shared" si="325"/>
        <v>-</v>
      </c>
      <c r="I534" s="13" t="str">
        <f t="shared" si="325"/>
        <v>-</v>
      </c>
      <c r="J534" s="13" t="str">
        <f t="shared" si="325"/>
        <v>-</v>
      </c>
      <c r="K534" s="13" t="str">
        <f t="shared" si="325"/>
        <v>-</v>
      </c>
    </row>
    <row r="535" spans="1:11" x14ac:dyDescent="0.35">
      <c r="A535" s="5"/>
      <c r="B535" s="5" t="str">
        <f t="shared" si="303"/>
        <v>SPS3</v>
      </c>
      <c r="C535" s="5" t="s">
        <v>7</v>
      </c>
      <c r="D535" t="s">
        <v>257</v>
      </c>
      <c r="E535" s="5" t="s">
        <v>240</v>
      </c>
      <c r="F535" s="13">
        <f t="shared" si="323"/>
        <v>0.18025644643459557</v>
      </c>
      <c r="G535" s="13">
        <f t="shared" ref="G535:K535" si="326">IFERROR(G89/SUM(G317,G472),"-")</f>
        <v>0.27032010476782414</v>
      </c>
      <c r="H535" s="13">
        <f t="shared" si="326"/>
        <v>0.18541830331542586</v>
      </c>
      <c r="I535" s="13">
        <f t="shared" si="326"/>
        <v>0.23658073722837758</v>
      </c>
      <c r="J535" s="13">
        <f t="shared" si="326"/>
        <v>0.28241267255649544</v>
      </c>
      <c r="K535" s="13">
        <f t="shared" si="326"/>
        <v>0.23625222381379371</v>
      </c>
    </row>
    <row r="536" spans="1:11" x14ac:dyDescent="0.35">
      <c r="A536" s="5"/>
      <c r="B536" s="5" t="str">
        <f t="shared" si="303"/>
        <v>SPS3</v>
      </c>
      <c r="C536" s="5" t="s">
        <v>7</v>
      </c>
      <c r="D536" t="s">
        <v>258</v>
      </c>
      <c r="E536" s="5" t="s">
        <v>240</v>
      </c>
      <c r="F536" s="13" t="str">
        <f t="shared" si="323"/>
        <v>-</v>
      </c>
      <c r="G536" s="13" t="str">
        <f t="shared" ref="G536:K536" si="327">IFERROR(G90/SUM(G318,G473),"-")</f>
        <v>-</v>
      </c>
      <c r="H536" s="13" t="str">
        <f t="shared" si="327"/>
        <v>-</v>
      </c>
      <c r="I536" s="13">
        <f t="shared" si="327"/>
        <v>0.41999999999999993</v>
      </c>
      <c r="J536" s="13">
        <f t="shared" si="327"/>
        <v>0.44000000000000006</v>
      </c>
      <c r="K536" s="13">
        <f t="shared" si="327"/>
        <v>0.45000000000000034</v>
      </c>
    </row>
    <row r="537" spans="1:11" x14ac:dyDescent="0.35">
      <c r="A537" s="5"/>
      <c r="B537" s="5" t="str">
        <f t="shared" si="303"/>
        <v>SPS3</v>
      </c>
      <c r="C537" s="5" t="s">
        <v>7</v>
      </c>
      <c r="D537" t="s">
        <v>259</v>
      </c>
      <c r="E537" s="5" t="s">
        <v>240</v>
      </c>
      <c r="F537" s="13">
        <f t="shared" si="323"/>
        <v>0.21724758315264708</v>
      </c>
      <c r="G537" s="13">
        <f t="shared" ref="G537:K537" si="328">IFERROR(G91/SUM(G319,G474),"-")</f>
        <v>0.28949294594201874</v>
      </c>
      <c r="H537" s="13">
        <f t="shared" si="328"/>
        <v>0.23430068776481525</v>
      </c>
      <c r="I537" s="13">
        <f t="shared" si="328"/>
        <v>0.29939381048771108</v>
      </c>
      <c r="J537" s="13">
        <f t="shared" si="328"/>
        <v>0.3049892265320463</v>
      </c>
      <c r="K537" s="13">
        <f t="shared" si="328"/>
        <v>0.25131647737172458</v>
      </c>
    </row>
    <row r="538" spans="1:11" x14ac:dyDescent="0.35">
      <c r="A538" s="5"/>
      <c r="B538" s="5" t="str">
        <f t="shared" si="303"/>
        <v>SPS3</v>
      </c>
      <c r="C538" s="5" t="s">
        <v>7</v>
      </c>
      <c r="D538" t="s">
        <v>260</v>
      </c>
      <c r="E538" s="5" t="s">
        <v>240</v>
      </c>
      <c r="F538" s="13" t="str">
        <f t="shared" si="323"/>
        <v>-</v>
      </c>
      <c r="G538" s="13" t="str">
        <f t="shared" ref="G538:K538" si="329">IFERROR(G92/SUM(G320,G475),"-")</f>
        <v>-</v>
      </c>
      <c r="H538" s="13" t="str">
        <f t="shared" si="329"/>
        <v>-</v>
      </c>
      <c r="I538" s="13">
        <f t="shared" si="329"/>
        <v>0.42000000000000004</v>
      </c>
      <c r="J538" s="13">
        <f t="shared" si="329"/>
        <v>0.44000000000000022</v>
      </c>
      <c r="K538" s="13">
        <f t="shared" si="329"/>
        <v>0.4499999999999999</v>
      </c>
    </row>
    <row r="539" spans="1:11" x14ac:dyDescent="0.35">
      <c r="A539" s="5"/>
      <c r="B539" s="5" t="str">
        <f t="shared" si="303"/>
        <v>SPS3</v>
      </c>
      <c r="C539" s="5" t="s">
        <v>7</v>
      </c>
      <c r="D539" t="s">
        <v>261</v>
      </c>
      <c r="E539" s="5" t="s">
        <v>240</v>
      </c>
      <c r="F539" s="13">
        <f t="shared" si="323"/>
        <v>0.36266082422200341</v>
      </c>
      <c r="G539" s="13">
        <f t="shared" ref="G539:K539" si="330">IFERROR(G93/SUM(G321,G476),"-")</f>
        <v>0.3630770923745128</v>
      </c>
      <c r="H539" s="13">
        <f t="shared" si="330"/>
        <v>0.30055531918851913</v>
      </c>
      <c r="I539" s="13">
        <f t="shared" si="330"/>
        <v>0.36438602936568054</v>
      </c>
      <c r="J539" s="13">
        <f t="shared" si="330"/>
        <v>0.37496661269038495</v>
      </c>
      <c r="K539" s="13">
        <f t="shared" si="330"/>
        <v>0.38518367973700746</v>
      </c>
    </row>
    <row r="540" spans="1:11" x14ac:dyDescent="0.35">
      <c r="A540" s="5"/>
      <c r="B540" s="5" t="str">
        <f t="shared" si="303"/>
        <v>SPS3</v>
      </c>
      <c r="C540" s="5" t="s">
        <v>7</v>
      </c>
      <c r="D540" t="s">
        <v>262</v>
      </c>
      <c r="E540" s="5" t="s">
        <v>240</v>
      </c>
      <c r="F540" s="13">
        <f t="shared" si="323"/>
        <v>0.35220792381461113</v>
      </c>
      <c r="G540" s="13">
        <f t="shared" ref="G540:K540" si="331">IFERROR(G94/SUM(G322,G477),"-")</f>
        <v>0.36000328692615019</v>
      </c>
      <c r="H540" s="13">
        <f t="shared" si="331"/>
        <v>0.27988910106591408</v>
      </c>
      <c r="I540" s="13">
        <f t="shared" si="331"/>
        <v>0.29723139966754214</v>
      </c>
      <c r="J540" s="13">
        <f t="shared" si="331"/>
        <v>0.31935433325366058</v>
      </c>
      <c r="K540" s="13">
        <f t="shared" si="331"/>
        <v>0.32374477084491265</v>
      </c>
    </row>
    <row r="541" spans="1:11" x14ac:dyDescent="0.35">
      <c r="A541" s="5"/>
      <c r="B541" s="5" t="str">
        <f t="shared" si="303"/>
        <v>SPS3</v>
      </c>
      <c r="C541" s="5" t="s">
        <v>7</v>
      </c>
      <c r="D541" t="s">
        <v>263</v>
      </c>
      <c r="E541" s="5" t="s">
        <v>240</v>
      </c>
      <c r="F541" s="13" t="str">
        <f t="shared" si="323"/>
        <v>-</v>
      </c>
      <c r="G541" s="13" t="str">
        <f t="shared" ref="G541:K541" si="332">IFERROR(G95/SUM(G323,G478),"-")</f>
        <v>-</v>
      </c>
      <c r="H541" s="13" t="str">
        <f t="shared" si="332"/>
        <v>-</v>
      </c>
      <c r="I541" s="13">
        <f t="shared" si="332"/>
        <v>0.60000000000000042</v>
      </c>
      <c r="J541" s="13">
        <f t="shared" si="332"/>
        <v>0.60999999999999921</v>
      </c>
      <c r="K541" s="13">
        <f t="shared" si="332"/>
        <v>0.61999999999999889</v>
      </c>
    </row>
    <row r="542" spans="1:11" x14ac:dyDescent="0.35">
      <c r="B542" s="5" t="str">
        <f t="shared" si="303"/>
        <v>SPS3</v>
      </c>
      <c r="C542" s="5" t="s">
        <v>7</v>
      </c>
      <c r="D542" t="s">
        <v>264</v>
      </c>
      <c r="E542" s="5" t="s">
        <v>240</v>
      </c>
      <c r="F542" s="13">
        <f>IFERROR(F129/F357,"-")</f>
        <v>0.3574569537601659</v>
      </c>
      <c r="G542" s="13">
        <f t="shared" ref="G542:K542" si="333">IFERROR(G129/G357,"-")</f>
        <v>0.35745695376016623</v>
      </c>
      <c r="H542" s="13">
        <f t="shared" si="333"/>
        <v>0.35745695376016584</v>
      </c>
      <c r="I542" s="13">
        <f t="shared" si="333"/>
        <v>0.35745695376016628</v>
      </c>
      <c r="J542" s="13">
        <f t="shared" si="333"/>
        <v>0.35745695376016556</v>
      </c>
      <c r="K542" s="13">
        <f t="shared" si="333"/>
        <v>0.35745695376016551</v>
      </c>
    </row>
    <row r="543" spans="1:11" x14ac:dyDescent="0.35">
      <c r="B543" s="5" t="str">
        <f t="shared" si="303"/>
        <v>SPS3</v>
      </c>
      <c r="C543" s="5" t="s">
        <v>7</v>
      </c>
      <c r="D543" t="s">
        <v>265</v>
      </c>
      <c r="E543" s="5" t="s">
        <v>240</v>
      </c>
      <c r="F543" s="13" t="str">
        <f>IFERROR(F130/F358,"-")</f>
        <v>-</v>
      </c>
      <c r="G543" s="13" t="str">
        <f t="shared" ref="G543:K543" si="334">IFERROR(G130/G358,"-")</f>
        <v>-</v>
      </c>
      <c r="H543" s="13" t="str">
        <f t="shared" si="334"/>
        <v>-</v>
      </c>
      <c r="I543" s="13" t="str">
        <f t="shared" si="334"/>
        <v>-</v>
      </c>
      <c r="J543" s="13">
        <f t="shared" si="334"/>
        <v>0.33470839322286933</v>
      </c>
      <c r="K543" s="13">
        <f t="shared" si="334"/>
        <v>0.34140256108732581</v>
      </c>
    </row>
    <row r="544" spans="1:11" x14ac:dyDescent="0.35">
      <c r="B544" s="5" t="str">
        <f t="shared" si="303"/>
        <v>SPS3</v>
      </c>
      <c r="C544" s="5" t="s">
        <v>7</v>
      </c>
      <c r="D544" t="s">
        <v>266</v>
      </c>
      <c r="E544" s="5" t="s">
        <v>240</v>
      </c>
      <c r="F544" s="13">
        <f>IFERROR(F131/SUM(F359,F426),"-")</f>
        <v>3.8383652493079026E-2</v>
      </c>
      <c r="G544" s="13">
        <f t="shared" ref="G544:K544" si="335">IFERROR(G131/SUM(G359,G426),"-")</f>
        <v>3.7020565121672684E-2</v>
      </c>
      <c r="H544" s="13">
        <f t="shared" si="335"/>
        <v>3.6789070195315694E-2</v>
      </c>
      <c r="I544" s="13">
        <f t="shared" si="335"/>
        <v>3.6991509305820895E-2</v>
      </c>
      <c r="J544" s="13">
        <f t="shared" si="335"/>
        <v>4.6652038928676663E-2</v>
      </c>
      <c r="K544" s="13">
        <f t="shared" si="335"/>
        <v>4.6834168659297938E-2</v>
      </c>
    </row>
    <row r="545" spans="2:11" x14ac:dyDescent="0.35">
      <c r="B545" s="5" t="str">
        <f t="shared" si="303"/>
        <v>SPS3</v>
      </c>
      <c r="C545" s="5" t="s">
        <v>7</v>
      </c>
      <c r="D545" t="s">
        <v>267</v>
      </c>
      <c r="E545" s="5" t="s">
        <v>240</v>
      </c>
      <c r="F545" s="13" t="str">
        <f>IFERROR(F132/SUM(F360,F427),"-")</f>
        <v>-</v>
      </c>
      <c r="G545" s="13" t="str">
        <f t="shared" ref="G545:K545" si="336">IFERROR(G132/SUM(G360,G427),"-")</f>
        <v>-</v>
      </c>
      <c r="H545" s="13" t="str">
        <f t="shared" si="336"/>
        <v>-</v>
      </c>
      <c r="I545" s="13" t="str">
        <f t="shared" si="336"/>
        <v>-</v>
      </c>
      <c r="J545" s="13">
        <f t="shared" si="336"/>
        <v>4.8242849883234767E-2</v>
      </c>
      <c r="K545" s="13">
        <f t="shared" si="336"/>
        <v>5.3999999999999986E-2</v>
      </c>
    </row>
    <row r="546" spans="2:11" x14ac:dyDescent="0.35">
      <c r="B546" s="5" t="str">
        <f t="shared" si="303"/>
        <v>SPS3</v>
      </c>
      <c r="C546" s="5" t="s">
        <v>7</v>
      </c>
      <c r="D546" t="s">
        <v>268</v>
      </c>
      <c r="E546" s="5" t="s">
        <v>240</v>
      </c>
      <c r="F546" s="13">
        <f>IFERROR(F133/SUM(F361,F502),"-")</f>
        <v>6.1977224951255051E-2</v>
      </c>
      <c r="G546" s="13">
        <f t="shared" ref="G546:K546" si="337">IFERROR(G133/SUM(G361,G502),"-")</f>
        <v>6.1973807824000124E-2</v>
      </c>
      <c r="H546" s="13">
        <f t="shared" si="337"/>
        <v>6.1972650567355285E-2</v>
      </c>
      <c r="I546" s="13">
        <f t="shared" si="337"/>
        <v>6.197265056735534E-2</v>
      </c>
      <c r="J546" s="13">
        <f t="shared" si="337"/>
        <v>6.1972650567355243E-2</v>
      </c>
      <c r="K546" s="13">
        <f t="shared" si="337"/>
        <v>6.1972650567355264E-2</v>
      </c>
    </row>
    <row r="547" spans="2:11" x14ac:dyDescent="0.35">
      <c r="B547" s="5" t="str">
        <f t="shared" si="303"/>
        <v>SPS3</v>
      </c>
      <c r="C547" s="5" t="s">
        <v>7</v>
      </c>
      <c r="D547" t="s">
        <v>269</v>
      </c>
      <c r="E547" s="5" t="s">
        <v>240</v>
      </c>
      <c r="F547" s="13" t="str">
        <f>IFERROR(F134/SUM(F362,F503),"-")</f>
        <v>-</v>
      </c>
      <c r="G547" s="13" t="str">
        <f t="shared" ref="G547:K547" si="338">IFERROR(G134/SUM(G362,G503),"-")</f>
        <v>-</v>
      </c>
      <c r="H547" s="13" t="str">
        <f t="shared" si="338"/>
        <v>-</v>
      </c>
      <c r="I547" s="13" t="str">
        <f t="shared" si="338"/>
        <v>-</v>
      </c>
      <c r="J547" s="13">
        <f t="shared" si="338"/>
        <v>4.7880823847050467E-2</v>
      </c>
      <c r="K547" s="13">
        <f t="shared" si="338"/>
        <v>4.5431760215214334E-2</v>
      </c>
    </row>
    <row r="548" spans="2:11" x14ac:dyDescent="0.35">
      <c r="B548" s="5" t="str">
        <f t="shared" si="303"/>
        <v>SPS3</v>
      </c>
      <c r="C548" s="5" t="s">
        <v>7</v>
      </c>
      <c r="D548" t="s">
        <v>270</v>
      </c>
      <c r="E548" s="5" t="s">
        <v>240</v>
      </c>
      <c r="F548" s="13">
        <f>IFERROR(F150/SUM(F378,F435),"-")</f>
        <v>0.23196020035486409</v>
      </c>
      <c r="G548" s="13">
        <f t="shared" ref="G548:K548" si="339">IFERROR(G150/SUM(G378,G435),"-")</f>
        <v>0.24974292336687501</v>
      </c>
      <c r="H548" s="13">
        <f t="shared" si="339"/>
        <v>0.21567556128774307</v>
      </c>
      <c r="I548" s="13">
        <f t="shared" si="339"/>
        <v>0.27502536671297767</v>
      </c>
      <c r="J548" s="13">
        <f t="shared" si="339"/>
        <v>0.3791303228964138</v>
      </c>
      <c r="K548" s="13">
        <f t="shared" si="339"/>
        <v>0.36160691641905934</v>
      </c>
    </row>
    <row r="549" spans="2:11" x14ac:dyDescent="0.35">
      <c r="B549" s="5" t="str">
        <f t="shared" si="303"/>
        <v>SPS3</v>
      </c>
      <c r="C549" s="5" t="s">
        <v>7</v>
      </c>
      <c r="D549" t="s">
        <v>271</v>
      </c>
      <c r="E549" s="5" t="s">
        <v>240</v>
      </c>
      <c r="F549" s="13" t="str">
        <f>IFERROR(F151/F379,"-")</f>
        <v>-</v>
      </c>
      <c r="G549" s="13" t="str">
        <f t="shared" ref="G549:K549" si="340">IFERROR(G151/G379,"-")</f>
        <v>-</v>
      </c>
      <c r="H549" s="13" t="str">
        <f t="shared" si="340"/>
        <v>-</v>
      </c>
      <c r="I549" s="13" t="str">
        <f t="shared" si="340"/>
        <v>-</v>
      </c>
      <c r="J549" s="13">
        <f t="shared" si="340"/>
        <v>0.10690359151159629</v>
      </c>
      <c r="K549" s="13">
        <f t="shared" si="340"/>
        <v>0.21601689010261205</v>
      </c>
    </row>
    <row r="550" spans="2:11" x14ac:dyDescent="0.35">
      <c r="B550" s="5" t="str">
        <f t="shared" si="303"/>
        <v>SPS3</v>
      </c>
      <c r="C550" s="5" t="s">
        <v>7</v>
      </c>
      <c r="D550" t="s">
        <v>272</v>
      </c>
      <c r="E550" s="5" t="s">
        <v>240</v>
      </c>
      <c r="F550" s="13">
        <f>IFERROR(F152/SUM(F380,F511),"-")</f>
        <v>0.19763664301985795</v>
      </c>
      <c r="G550" s="13">
        <f t="shared" ref="G550:K550" si="341">IFERROR(G152/SUM(G380,G511),"-")</f>
        <v>0.22581656737119374</v>
      </c>
      <c r="H550" s="13">
        <f t="shared" si="341"/>
        <v>0.25268349874351453</v>
      </c>
      <c r="I550" s="13">
        <f t="shared" si="341"/>
        <v>0.33838649479791794</v>
      </c>
      <c r="J550" s="13">
        <f t="shared" si="341"/>
        <v>0.35290431860119092</v>
      </c>
      <c r="K550" s="13">
        <f t="shared" si="341"/>
        <v>0.36768904617043457</v>
      </c>
    </row>
    <row r="551" spans="2:11" x14ac:dyDescent="0.35">
      <c r="B551" s="5" t="str">
        <f t="shared" si="303"/>
        <v>SPS3</v>
      </c>
      <c r="C551" s="5" t="s">
        <v>7</v>
      </c>
      <c r="D551" t="s">
        <v>273</v>
      </c>
      <c r="E551" s="5" t="s">
        <v>240</v>
      </c>
      <c r="F551" s="13" t="str">
        <f>IFERROR(F153/SUM(F381,F512),"-")</f>
        <v>-</v>
      </c>
      <c r="G551" s="13" t="str">
        <f t="shared" ref="G551:K551" si="342">IFERROR(G153/SUM(G381,G512),"-")</f>
        <v>-</v>
      </c>
      <c r="H551" s="13" t="str">
        <f t="shared" si="342"/>
        <v>-</v>
      </c>
      <c r="I551" s="13" t="str">
        <f t="shared" si="342"/>
        <v>-</v>
      </c>
      <c r="J551" s="13">
        <f t="shared" si="342"/>
        <v>0.33514935376829558</v>
      </c>
      <c r="K551" s="13">
        <f t="shared" si="342"/>
        <v>0.34919014130576476</v>
      </c>
    </row>
    <row r="552" spans="2:11" x14ac:dyDescent="0.35">
      <c r="B552" s="5" t="str">
        <f t="shared" si="303"/>
        <v>SPS3</v>
      </c>
      <c r="C552" s="5" t="s">
        <v>7</v>
      </c>
      <c r="D552" t="s">
        <v>274</v>
      </c>
      <c r="E552" s="5" t="s">
        <v>240</v>
      </c>
      <c r="F552" s="13" t="str">
        <f>IFERROR(F154/SUM(F382,F513),"-")</f>
        <v>-</v>
      </c>
      <c r="G552" s="13" t="str">
        <f t="shared" ref="G552:K552" si="343">IFERROR(G154/SUM(G382,G513),"-")</f>
        <v>-</v>
      </c>
      <c r="H552" s="13" t="str">
        <f t="shared" si="343"/>
        <v>-</v>
      </c>
      <c r="I552" s="13">
        <f t="shared" si="343"/>
        <v>0.11512204679681565</v>
      </c>
      <c r="J552" s="13">
        <f t="shared" si="343"/>
        <v>0.21469397393680426</v>
      </c>
      <c r="K552" s="13">
        <f t="shared" si="343"/>
        <v>0.25929472445938989</v>
      </c>
    </row>
    <row r="553" spans="2:11" x14ac:dyDescent="0.35">
      <c r="B553" s="5" t="str">
        <f t="shared" si="303"/>
        <v>SPS3</v>
      </c>
      <c r="C553" s="5" t="s">
        <v>7</v>
      </c>
      <c r="D553" t="s">
        <v>275</v>
      </c>
      <c r="E553" s="5" t="s">
        <v>240</v>
      </c>
      <c r="F553" s="13" t="str">
        <f>IFERROR(F155/SUM(F383,F514),"-")</f>
        <v>-</v>
      </c>
      <c r="G553" s="13" t="str">
        <f t="shared" ref="G553:K553" si="344">IFERROR(G155/SUM(G383,G514),"-")</f>
        <v>-</v>
      </c>
      <c r="H553" s="13" t="str">
        <f t="shared" si="344"/>
        <v>-</v>
      </c>
      <c r="I553" s="13">
        <f t="shared" si="344"/>
        <v>0.14617021901991989</v>
      </c>
      <c r="J553" s="13">
        <f t="shared" si="344"/>
        <v>0.23743425528516166</v>
      </c>
      <c r="K553" s="13">
        <f t="shared" si="344"/>
        <v>0.28258274028547153</v>
      </c>
    </row>
    <row r="554" spans="2:11" x14ac:dyDescent="0.35">
      <c r="B554" s="5" t="str">
        <f t="shared" si="303"/>
        <v>SPS3</v>
      </c>
      <c r="C554" s="5" t="s">
        <v>7</v>
      </c>
      <c r="D554" t="s">
        <v>293</v>
      </c>
      <c r="E554" s="5" t="s">
        <v>240</v>
      </c>
      <c r="F554" s="13" t="str">
        <f>IFERROR(F156/SUM(F384,F515),"-")</f>
        <v>-</v>
      </c>
      <c r="G554" s="13" t="str">
        <f t="shared" ref="G554:K554" si="345">IFERROR(G156/SUM(G384,G515),"-")</f>
        <v>-</v>
      </c>
      <c r="H554" s="13" t="str">
        <f t="shared" si="345"/>
        <v>-</v>
      </c>
      <c r="I554" s="13">
        <f t="shared" si="345"/>
        <v>0.10931155397615822</v>
      </c>
      <c r="J554" s="13">
        <f t="shared" si="345"/>
        <v>0.26249993590555371</v>
      </c>
      <c r="K554" s="13">
        <f t="shared" si="345"/>
        <v>0.3662349556352818</v>
      </c>
    </row>
    <row r="555" spans="2:11" x14ac:dyDescent="0.35">
      <c r="B555" s="5" t="str">
        <f t="shared" si="303"/>
        <v>SPS3</v>
      </c>
      <c r="C555" s="5" t="s">
        <v>7</v>
      </c>
      <c r="D555" t="s">
        <v>276</v>
      </c>
      <c r="E555" s="5" t="s">
        <v>240</v>
      </c>
      <c r="F555" s="13">
        <v>1</v>
      </c>
      <c r="G555" s="13">
        <v>1</v>
      </c>
      <c r="H555" s="13">
        <v>1</v>
      </c>
      <c r="I555" s="13">
        <v>1</v>
      </c>
      <c r="J555" s="13">
        <v>1</v>
      </c>
      <c r="K555" s="13">
        <v>1</v>
      </c>
    </row>
    <row r="556" spans="2:11" x14ac:dyDescent="0.35">
      <c r="B556" s="5" t="str">
        <f t="shared" si="303"/>
        <v>SPS3</v>
      </c>
      <c r="C556" s="5" t="s">
        <v>7</v>
      </c>
      <c r="D556" t="s">
        <v>277</v>
      </c>
      <c r="E556" s="5" t="s">
        <v>240</v>
      </c>
      <c r="F556" s="13">
        <v>1</v>
      </c>
      <c r="G556" s="13">
        <v>1</v>
      </c>
      <c r="H556" s="13">
        <v>1</v>
      </c>
      <c r="I556" s="13">
        <v>1</v>
      </c>
      <c r="J556" s="13">
        <v>1</v>
      </c>
      <c r="K556" s="13">
        <v>1</v>
      </c>
    </row>
    <row r="557" spans="2:11" x14ac:dyDescent="0.35">
      <c r="B557" s="5" t="str">
        <f t="shared" si="303"/>
        <v>SPS3</v>
      </c>
      <c r="C557" s="5" t="s">
        <v>7</v>
      </c>
      <c r="D557" t="s">
        <v>278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</row>
    <row r="558" spans="2:11" x14ac:dyDescent="0.35">
      <c r="B558" s="5" t="str">
        <f t="shared" si="303"/>
        <v>SPS3</v>
      </c>
      <c r="C558" s="5" t="s">
        <v>7</v>
      </c>
      <c r="D558" t="s">
        <v>279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</row>
    <row r="559" spans="2:11" x14ac:dyDescent="0.35">
      <c r="B559" s="5" t="str">
        <f t="shared" si="303"/>
        <v>SPS3</v>
      </c>
      <c r="C559" s="5" t="s">
        <v>7</v>
      </c>
      <c r="D559" t="s">
        <v>280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</row>
    <row r="560" spans="2:11" x14ac:dyDescent="0.35">
      <c r="B560" s="5" t="str">
        <f t="shared" si="303"/>
        <v>SPS3</v>
      </c>
      <c r="C560" s="5" t="s">
        <v>7</v>
      </c>
      <c r="D560" t="s">
        <v>281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</row>
    <row r="561" spans="2:11" x14ac:dyDescent="0.35">
      <c r="B561" s="5" t="str">
        <f t="shared" si="303"/>
        <v>SPS3</v>
      </c>
      <c r="C561" s="5" t="s">
        <v>7</v>
      </c>
      <c r="D561" t="s">
        <v>282</v>
      </c>
      <c r="E561" s="5" t="s">
        <v>240</v>
      </c>
      <c r="F561" s="13" t="str">
        <f>IFERROR(F166/F394,"-")</f>
        <v>-</v>
      </c>
      <c r="G561" s="13" t="str">
        <f t="shared" ref="G561:K561" si="346">IFERROR(G166/G394,"-")</f>
        <v>-</v>
      </c>
      <c r="H561" s="13" t="str">
        <f t="shared" si="346"/>
        <v>-</v>
      </c>
      <c r="I561" s="13" t="str">
        <f t="shared" si="346"/>
        <v>-</v>
      </c>
      <c r="J561" s="13" t="str">
        <f t="shared" si="346"/>
        <v>-</v>
      </c>
      <c r="K561" s="13" t="str">
        <f t="shared" si="346"/>
        <v>-</v>
      </c>
    </row>
    <row r="562" spans="2:11" x14ac:dyDescent="0.35">
      <c r="B562" s="5" t="str">
        <f t="shared" si="303"/>
        <v>SPS3</v>
      </c>
      <c r="C562" s="5" t="s">
        <v>7</v>
      </c>
      <c r="D562" t="s">
        <v>283</v>
      </c>
      <c r="E562" s="5" t="s">
        <v>240</v>
      </c>
      <c r="F562" s="13" t="str">
        <f>IFERROR(F168/SUM(F396,F437),"-")</f>
        <v>-</v>
      </c>
      <c r="G562" s="13" t="str">
        <f t="shared" ref="G562:K562" si="347">IFERROR(G168/SUM(G396,G437),"-")</f>
        <v>-</v>
      </c>
      <c r="H562" s="13" t="str">
        <f t="shared" si="347"/>
        <v>-</v>
      </c>
      <c r="I562" s="13" t="str">
        <f t="shared" si="347"/>
        <v>-</v>
      </c>
      <c r="J562" s="13">
        <f t="shared" si="347"/>
        <v>0.41999999999999976</v>
      </c>
      <c r="K562" s="13">
        <f t="shared" si="347"/>
        <v>0.42000000000000026</v>
      </c>
    </row>
    <row r="563" spans="2:11" x14ac:dyDescent="0.35">
      <c r="B563" s="5" t="str">
        <f t="shared" si="303"/>
        <v>SPS3</v>
      </c>
      <c r="C563" s="5" t="s">
        <v>7</v>
      </c>
      <c r="D563" t="s">
        <v>284</v>
      </c>
      <c r="E563" s="5" t="s">
        <v>240</v>
      </c>
      <c r="F563" s="13" t="str">
        <f>IFERROR(F169/SUM(F397,F517),"-")</f>
        <v>-</v>
      </c>
      <c r="G563" s="13" t="str">
        <f t="shared" ref="G563:K563" si="348">IFERROR(G169/SUM(G397,G517),"-")</f>
        <v>-</v>
      </c>
      <c r="H563" s="13" t="str">
        <f t="shared" si="348"/>
        <v>-</v>
      </c>
      <c r="I563" s="13" t="str">
        <f t="shared" si="348"/>
        <v>-</v>
      </c>
      <c r="J563" s="13">
        <f t="shared" si="348"/>
        <v>0.55000000000000004</v>
      </c>
      <c r="K563" s="13">
        <f t="shared" si="348"/>
        <v>0.59999999999999976</v>
      </c>
    </row>
    <row r="564" spans="2:11" x14ac:dyDescent="0.35">
      <c r="B564" s="5" t="str">
        <f t="shared" ref="B564:B627" si="349">B563</f>
        <v>SPS3</v>
      </c>
      <c r="C564" s="5" t="s">
        <v>7</v>
      </c>
      <c r="D564" t="s">
        <v>285</v>
      </c>
      <c r="E564" s="5" t="s">
        <v>240</v>
      </c>
      <c r="F564" s="13" t="str">
        <f>IFERROR(F170/SUM(F398,F518),"-")</f>
        <v>-</v>
      </c>
      <c r="G564" s="13" t="str">
        <f t="shared" ref="G564:K564" si="350">IFERROR(G170/SUM(G398,G518),"-")</f>
        <v>-</v>
      </c>
      <c r="H564" s="13" t="str">
        <f t="shared" si="350"/>
        <v>-</v>
      </c>
      <c r="I564" s="13">
        <f t="shared" si="350"/>
        <v>0.4750000000000002</v>
      </c>
      <c r="J564" s="13">
        <f t="shared" si="350"/>
        <v>0.5399999999999997</v>
      </c>
      <c r="K564" s="13">
        <f t="shared" si="350"/>
        <v>0.57499999999999973</v>
      </c>
    </row>
    <row r="565" spans="2:11" x14ac:dyDescent="0.35">
      <c r="B565" s="5" t="str">
        <f t="shared" si="349"/>
        <v>SPS3</v>
      </c>
      <c r="C565" s="5" t="s">
        <v>7</v>
      </c>
      <c r="D565" t="s">
        <v>286</v>
      </c>
      <c r="E565" s="5" t="s">
        <v>240</v>
      </c>
      <c r="F565" s="13">
        <f t="shared" ref="F565:K571" si="351">IFERROR(F172/F400,"-")</f>
        <v>0.69973317974135485</v>
      </c>
      <c r="G565" s="13">
        <f t="shared" si="351"/>
        <v>0.69884836657295157</v>
      </c>
      <c r="H565" s="13">
        <f t="shared" si="351"/>
        <v>0.6999901999612097</v>
      </c>
      <c r="I565" s="13">
        <f t="shared" si="351"/>
        <v>0.69996500290020525</v>
      </c>
      <c r="J565" s="13">
        <f t="shared" si="351"/>
        <v>0.67537239472736399</v>
      </c>
      <c r="K565" s="13">
        <f t="shared" si="351"/>
        <v>0.65407362500205946</v>
      </c>
    </row>
    <row r="566" spans="2:11" x14ac:dyDescent="0.35">
      <c r="B566" s="5" t="str">
        <f t="shared" si="349"/>
        <v>SPS3</v>
      </c>
      <c r="C566" s="5" t="s">
        <v>7</v>
      </c>
      <c r="D566" t="s">
        <v>287</v>
      </c>
      <c r="E566" s="5" t="s">
        <v>240</v>
      </c>
      <c r="F566" s="13">
        <f t="shared" si="351"/>
        <v>0.86217696848167458</v>
      </c>
      <c r="G566" s="13">
        <f t="shared" si="351"/>
        <v>0.86267792286748646</v>
      </c>
      <c r="H566" s="13">
        <f t="shared" si="351"/>
        <v>0.86691814374592902</v>
      </c>
      <c r="I566" s="13">
        <f t="shared" si="351"/>
        <v>0.86628598268802925</v>
      </c>
      <c r="J566" s="13">
        <f t="shared" si="351"/>
        <v>0.86632958929797965</v>
      </c>
      <c r="K566" s="13">
        <f t="shared" si="351"/>
        <v>0.86699042370173229</v>
      </c>
    </row>
    <row r="567" spans="2:11" x14ac:dyDescent="0.35">
      <c r="B567" s="5" t="str">
        <f t="shared" si="349"/>
        <v>SPS3</v>
      </c>
      <c r="C567" s="5" t="s">
        <v>7</v>
      </c>
      <c r="D567" t="s">
        <v>288</v>
      </c>
      <c r="E567" s="5" t="s">
        <v>240</v>
      </c>
      <c r="F567" s="13">
        <f t="shared" si="351"/>
        <v>0.89353444879309585</v>
      </c>
      <c r="G567" s="13">
        <f t="shared" si="351"/>
        <v>0.89408258996605761</v>
      </c>
      <c r="H567" s="13">
        <f t="shared" si="351"/>
        <v>0.89393574739117487</v>
      </c>
      <c r="I567" s="13">
        <f t="shared" si="351"/>
        <v>0.89382014068341842</v>
      </c>
      <c r="J567" s="13">
        <f t="shared" si="351"/>
        <v>0.89370688282103194</v>
      </c>
      <c r="K567" s="13">
        <f t="shared" si="351"/>
        <v>0.8942647713273213</v>
      </c>
    </row>
    <row r="568" spans="2:11" x14ac:dyDescent="0.35">
      <c r="B568" s="5" t="str">
        <f t="shared" si="349"/>
        <v>SPS3</v>
      </c>
      <c r="C568" s="5" t="s">
        <v>7</v>
      </c>
      <c r="D568" t="s">
        <v>289</v>
      </c>
      <c r="E568" s="5" t="s">
        <v>240</v>
      </c>
      <c r="F568" s="13">
        <f t="shared" si="351"/>
        <v>0.89650479530130012</v>
      </c>
      <c r="G568" s="13">
        <f t="shared" si="351"/>
        <v>0.89771891659194791</v>
      </c>
      <c r="H568" s="13">
        <f t="shared" si="351"/>
        <v>0.90320501426847144</v>
      </c>
      <c r="I568" s="13">
        <f t="shared" si="351"/>
        <v>0.90428194307996657</v>
      </c>
      <c r="J568" s="13">
        <f t="shared" si="351"/>
        <v>0.90380778633810288</v>
      </c>
      <c r="K568" s="13">
        <f t="shared" si="351"/>
        <v>0.90415065543839868</v>
      </c>
    </row>
    <row r="569" spans="2:11" x14ac:dyDescent="0.35">
      <c r="B569" s="5" t="str">
        <f t="shared" si="349"/>
        <v>SPS3</v>
      </c>
      <c r="C569" s="5" t="s">
        <v>7</v>
      </c>
      <c r="D569" t="s">
        <v>1855</v>
      </c>
      <c r="E569" s="5" t="s">
        <v>240</v>
      </c>
      <c r="F569" s="13">
        <f t="shared" si="351"/>
        <v>0.89652259318045124</v>
      </c>
      <c r="G569" s="13">
        <f t="shared" si="351"/>
        <v>0.89773481192498394</v>
      </c>
      <c r="H569" s="13">
        <f t="shared" si="351"/>
        <v>0.9032544986400648</v>
      </c>
      <c r="I569" s="13">
        <f t="shared" si="351"/>
        <v>0.90428610238443929</v>
      </c>
      <c r="J569" s="13">
        <f t="shared" si="351"/>
        <v>0.90356000317303931</v>
      </c>
      <c r="K569" s="13">
        <f t="shared" si="351"/>
        <v>0.90419735247475708</v>
      </c>
    </row>
    <row r="570" spans="2:11" x14ac:dyDescent="0.35">
      <c r="B570" s="5" t="str">
        <f t="shared" si="349"/>
        <v>SPS3</v>
      </c>
      <c r="C570" s="5" t="s">
        <v>7</v>
      </c>
      <c r="D570" t="s">
        <v>290</v>
      </c>
      <c r="E570" s="5" t="s">
        <v>240</v>
      </c>
      <c r="F570" s="13">
        <f t="shared" si="351"/>
        <v>0.8965207489842183</v>
      </c>
      <c r="G570" s="13">
        <f t="shared" si="351"/>
        <v>0.89773327332525699</v>
      </c>
      <c r="H570" s="13">
        <f t="shared" si="351"/>
        <v>0.90321989928139246</v>
      </c>
      <c r="I570" s="13">
        <f t="shared" si="351"/>
        <v>0.90428585441196074</v>
      </c>
      <c r="J570" s="13">
        <f t="shared" si="351"/>
        <v>0.90359373300398005</v>
      </c>
      <c r="K570" s="13">
        <f t="shared" si="351"/>
        <v>0.90419737398330169</v>
      </c>
    </row>
    <row r="571" spans="2:11" x14ac:dyDescent="0.35">
      <c r="B571" s="5" t="str">
        <f t="shared" si="349"/>
        <v>SPS3</v>
      </c>
      <c r="C571" s="5" t="s">
        <v>7</v>
      </c>
      <c r="D571" t="s">
        <v>291</v>
      </c>
      <c r="E571" s="5" t="s">
        <v>240</v>
      </c>
      <c r="F571" s="13">
        <f t="shared" si="351"/>
        <v>0.89653243257250792</v>
      </c>
      <c r="G571" s="13">
        <f t="shared" si="351"/>
        <v>0.89774282205875011</v>
      </c>
      <c r="H571" s="13">
        <f t="shared" si="351"/>
        <v>0.90320930437643265</v>
      </c>
      <c r="I571" s="13">
        <f t="shared" si="351"/>
        <v>0.90428201603803182</v>
      </c>
      <c r="J571" s="13">
        <f t="shared" si="351"/>
        <v>0.90382827845039648</v>
      </c>
      <c r="K571" s="13">
        <f t="shared" si="351"/>
        <v>0.90421210532157437</v>
      </c>
    </row>
    <row r="572" spans="2:11" x14ac:dyDescent="0.35">
      <c r="B572" s="9" t="str">
        <f t="shared" si="349"/>
        <v>SPS3</v>
      </c>
      <c r="C572" s="9" t="s">
        <v>7</v>
      </c>
      <c r="D572" s="2" t="s">
        <v>296</v>
      </c>
      <c r="E572" s="5" t="s">
        <v>240</v>
      </c>
      <c r="F572" t="s">
        <v>292</v>
      </c>
      <c r="G572" t="s">
        <v>292</v>
      </c>
      <c r="H572" t="s">
        <v>292</v>
      </c>
      <c r="I572" t="s">
        <v>292</v>
      </c>
      <c r="J572" t="s">
        <v>292</v>
      </c>
      <c r="K572" t="s">
        <v>292</v>
      </c>
    </row>
    <row r="573" spans="2:11" x14ac:dyDescent="0.35">
      <c r="B573" s="5" t="str">
        <f t="shared" si="349"/>
        <v>SPS3</v>
      </c>
      <c r="C573" s="5" t="s">
        <v>7</v>
      </c>
      <c r="D573" t="s">
        <v>297</v>
      </c>
      <c r="E573" s="5" t="s">
        <v>240</v>
      </c>
      <c r="F573" s="4">
        <f>IFERROR(F210/F440,"-")</f>
        <v>0.59933365531739857</v>
      </c>
      <c r="G573" s="4">
        <f t="shared" ref="G573:K573" si="352">IFERROR(G210/G440,"-")</f>
        <v>0.63568268888836776</v>
      </c>
      <c r="H573" s="4">
        <f t="shared" si="352"/>
        <v>0.63545083024037852</v>
      </c>
      <c r="I573" s="4">
        <f t="shared" si="352"/>
        <v>0.69472128095953323</v>
      </c>
      <c r="J573" s="4">
        <f t="shared" si="352"/>
        <v>0.58156297682303426</v>
      </c>
      <c r="K573" s="4">
        <f t="shared" si="352"/>
        <v>0.38083524946819708</v>
      </c>
    </row>
    <row r="574" spans="2:11" x14ac:dyDescent="0.35">
      <c r="B574" s="5" t="str">
        <f t="shared" si="349"/>
        <v>SPS3</v>
      </c>
      <c r="C574" s="5" t="s">
        <v>7</v>
      </c>
      <c r="D574" t="s">
        <v>298</v>
      </c>
      <c r="E574" s="5" t="s">
        <v>240</v>
      </c>
      <c r="F574" s="4">
        <f>IFERROR(F216/F446,"-")</f>
        <v>1</v>
      </c>
      <c r="G574" s="4">
        <f t="shared" ref="G574:K574" si="353">IFERROR(G216/G446,"-")</f>
        <v>1</v>
      </c>
      <c r="H574" s="4">
        <f t="shared" si="353"/>
        <v>1</v>
      </c>
      <c r="I574" s="4">
        <f t="shared" si="353"/>
        <v>1</v>
      </c>
      <c r="J574" s="4" t="str">
        <f t="shared" si="353"/>
        <v>-</v>
      </c>
      <c r="K574" s="4" t="str">
        <f t="shared" si="353"/>
        <v>-</v>
      </c>
    </row>
    <row r="575" spans="2:11" x14ac:dyDescent="0.35">
      <c r="B575" s="5" t="str">
        <f t="shared" si="349"/>
        <v>SPS3</v>
      </c>
      <c r="C575" s="5" t="s">
        <v>7</v>
      </c>
      <c r="D575" t="s">
        <v>299</v>
      </c>
      <c r="E575" s="5" t="s">
        <v>240</v>
      </c>
      <c r="F575" s="4">
        <f>IFERROR(F218/F448,"-")</f>
        <v>0.85445501111132516</v>
      </c>
      <c r="G575" s="4">
        <f t="shared" ref="G575:K575" si="354">IFERROR(G218/G448,"-")</f>
        <v>0.8544550111113256</v>
      </c>
      <c r="H575" s="4">
        <f t="shared" si="354"/>
        <v>0.8544550111113256</v>
      </c>
      <c r="I575" s="4">
        <f t="shared" si="354"/>
        <v>0.85445501111132538</v>
      </c>
      <c r="J575" s="4">
        <f t="shared" si="354"/>
        <v>0.85445501111132449</v>
      </c>
      <c r="K575" s="4">
        <f t="shared" si="354"/>
        <v>0.85445501111132494</v>
      </c>
    </row>
    <row r="576" spans="2:11" x14ac:dyDescent="0.35">
      <c r="B576" s="5" t="str">
        <f t="shared" si="349"/>
        <v>SPS3</v>
      </c>
      <c r="C576" s="5" t="s">
        <v>7</v>
      </c>
      <c r="D576" t="s">
        <v>300</v>
      </c>
      <c r="E576" s="5" t="s">
        <v>240</v>
      </c>
      <c r="F576" s="4">
        <f>IFERROR(F224/F454,"-")</f>
        <v>0.70000000000000018</v>
      </c>
      <c r="G576" s="4">
        <f t="shared" ref="G576:K576" si="355">IFERROR(G224/G454,"-")</f>
        <v>0.69999999999999984</v>
      </c>
      <c r="H576" s="4">
        <f t="shared" si="355"/>
        <v>0.70000000000000007</v>
      </c>
      <c r="I576" s="4">
        <f t="shared" si="355"/>
        <v>0.70000000000000007</v>
      </c>
      <c r="J576" s="4">
        <f t="shared" si="355"/>
        <v>0.69999999999999973</v>
      </c>
      <c r="K576" s="4">
        <f t="shared" si="355"/>
        <v>0.69999999999999973</v>
      </c>
    </row>
    <row r="577" spans="2:11" x14ac:dyDescent="0.35">
      <c r="B577" s="5" t="str">
        <f t="shared" si="349"/>
        <v>SPS3</v>
      </c>
      <c r="C577" s="5" t="s">
        <v>7</v>
      </c>
      <c r="D577" t="s">
        <v>301</v>
      </c>
      <c r="E577" s="5" t="s">
        <v>240</v>
      </c>
      <c r="F577" t="str">
        <f>IFERROR(F226/F456,"-")</f>
        <v>-</v>
      </c>
      <c r="G577" t="str">
        <f t="shared" ref="G577:K577" si="356">IFERROR(G226/G456,"-")</f>
        <v>-</v>
      </c>
      <c r="H577" t="str">
        <f t="shared" si="356"/>
        <v>-</v>
      </c>
      <c r="I577" t="str">
        <f t="shared" si="356"/>
        <v>-</v>
      </c>
      <c r="J577" t="str">
        <f t="shared" si="356"/>
        <v>-</v>
      </c>
      <c r="K577" t="str">
        <f t="shared" si="356"/>
        <v>-</v>
      </c>
    </row>
    <row r="578" spans="2:11" x14ac:dyDescent="0.35">
      <c r="B578" s="5" t="str">
        <f t="shared" si="349"/>
        <v>SPS3</v>
      </c>
      <c r="C578" s="5" t="s">
        <v>7</v>
      </c>
      <c r="D578" t="s">
        <v>302</v>
      </c>
      <c r="E578" s="5" t="s">
        <v>240</v>
      </c>
      <c r="F578" t="str">
        <f>IFERROR(F228/F458,"-")</f>
        <v>-</v>
      </c>
      <c r="G578" t="str">
        <f t="shared" ref="G578:K578" si="357">IFERROR(G228/G458,"-")</f>
        <v>-</v>
      </c>
      <c r="H578" t="str">
        <f t="shared" si="357"/>
        <v>-</v>
      </c>
      <c r="I578" t="str">
        <f t="shared" si="357"/>
        <v>-</v>
      </c>
      <c r="J578">
        <f t="shared" si="357"/>
        <v>0.84999999999999987</v>
      </c>
      <c r="K578">
        <f t="shared" si="357"/>
        <v>0.85</v>
      </c>
    </row>
    <row r="579" spans="2:11" x14ac:dyDescent="0.35">
      <c r="B579" s="5" t="str">
        <f t="shared" si="349"/>
        <v>SPS3</v>
      </c>
      <c r="C579" s="5" t="s">
        <v>7</v>
      </c>
      <c r="D579" t="s">
        <v>720</v>
      </c>
      <c r="E579" s="5" t="s">
        <v>240</v>
      </c>
      <c r="F579" s="4" t="str">
        <f>IFERROR(F230/F460,"-")</f>
        <v>-</v>
      </c>
      <c r="G579" s="4">
        <f t="shared" ref="G579:K579" si="358">IFERROR(G230/G460,"-")</f>
        <v>2.9000000000000008</v>
      </c>
      <c r="H579" s="4">
        <f t="shared" si="358"/>
        <v>2.8999999999999995</v>
      </c>
      <c r="I579" s="4">
        <f t="shared" si="358"/>
        <v>2.8999999999999981</v>
      </c>
      <c r="J579" s="4">
        <f t="shared" si="358"/>
        <v>2.899999999999999</v>
      </c>
      <c r="K579" s="4">
        <f t="shared" si="358"/>
        <v>2.900000000000003</v>
      </c>
    </row>
    <row r="580" spans="2:11" x14ac:dyDescent="0.35">
      <c r="B580" s="9" t="str">
        <f t="shared" si="349"/>
        <v>SPS3</v>
      </c>
      <c r="C580" s="9" t="s">
        <v>7</v>
      </c>
      <c r="D580" s="2" t="s">
        <v>303</v>
      </c>
      <c r="E580" s="9" t="s">
        <v>8</v>
      </c>
      <c r="F580" s="3">
        <f>[1]Other_transformation!B$5</f>
        <v>0.78912345640983284</v>
      </c>
      <c r="G580" s="3">
        <f>[1]Other_transformation!C$5</f>
        <v>0.63724571677825559</v>
      </c>
      <c r="H580" s="3">
        <f>[1]Other_transformation!D$5</f>
        <v>0.70633905795853302</v>
      </c>
      <c r="I580" s="3">
        <f>[1]Other_transformation!E$5</f>
        <v>0.77952785239238054</v>
      </c>
      <c r="J580" s="3">
        <f>[1]Other_transformation!F$5</f>
        <v>0.46675780749909823</v>
      </c>
      <c r="K580" s="3">
        <f>[1]Other_transformation!G$5</f>
        <v>0.27945252453637898</v>
      </c>
    </row>
    <row r="581" spans="2:11" x14ac:dyDescent="0.35">
      <c r="B581" s="5" t="str">
        <f t="shared" si="349"/>
        <v>SPS3</v>
      </c>
      <c r="C581" s="5" t="s">
        <v>7</v>
      </c>
      <c r="D581" t="s">
        <v>903</v>
      </c>
      <c r="E581" s="5" t="s">
        <v>8</v>
      </c>
      <c r="F581" s="1">
        <f>F580</f>
        <v>0.78912345640983284</v>
      </c>
      <c r="G581" s="1">
        <f t="shared" ref="G581:K581" si="359">G580</f>
        <v>0.63724571677825559</v>
      </c>
      <c r="H581" s="1">
        <f t="shared" si="359"/>
        <v>0.70633905795853302</v>
      </c>
      <c r="I581" s="1">
        <f t="shared" si="359"/>
        <v>0.77952785239238054</v>
      </c>
      <c r="J581" s="1">
        <f t="shared" si="359"/>
        <v>0.46675780749909823</v>
      </c>
      <c r="K581" s="1">
        <f t="shared" si="359"/>
        <v>0.27945252453637898</v>
      </c>
    </row>
    <row r="582" spans="2:11" x14ac:dyDescent="0.35">
      <c r="B582" s="5" t="str">
        <f t="shared" si="349"/>
        <v>SPS3</v>
      </c>
      <c r="C582" s="5" t="s">
        <v>7</v>
      </c>
      <c r="D582" t="s">
        <v>304</v>
      </c>
      <c r="E582" s="5" t="s">
        <v>8</v>
      </c>
      <c r="F582" s="1" cm="1">
        <f t="array" ref="F582">SUMPRODUCT(("CT_CWODBDS"=[1]OUT_SyntheticFuels!$C$4:$C$1000)*1,("BDS"=[1]OUT_SyntheticFuels!$A$4:$A$1000)*1,("Var_Fout"=[1]OUT_SyntheticFuels!$B$4:$B$1000)*1,[1]OUT_SyntheticFuels!E$4:E$1000)</f>
        <v>0.78912345640983284</v>
      </c>
      <c r="G582" s="1" cm="1">
        <f t="array" ref="G582">SUMPRODUCT(("CT_CWODBDS"=[1]OUT_SyntheticFuels!$C$4:$C$1000)*1,("BDS"=[1]OUT_SyntheticFuels!$A$4:$A$1000)*1,("Var_Fout"=[1]OUT_SyntheticFuels!$B$4:$B$1000)*1,[1]OUT_SyntheticFuels!F$4:F$1000)</f>
        <v>0.63724571677825559</v>
      </c>
      <c r="H582" s="1" cm="1">
        <f t="array" ref="H582">SUMPRODUCT(("CT_CWODBDS"=[1]OUT_SyntheticFuels!$C$4:$C$1000)*1,("BDS"=[1]OUT_SyntheticFuels!$A$4:$A$1000)*1,("Var_Fout"=[1]OUT_SyntheticFuels!$B$4:$B$1000)*1,[1]OUT_SyntheticFuels!G$4:G$1000)</f>
        <v>0.70633905795853302</v>
      </c>
      <c r="I582" s="1" cm="1">
        <f t="array" ref="I582">SUMPRODUCT(("CT_CWODBDS"=[1]OUT_SyntheticFuels!$C$4:$C$1000)*1,("BDS"=[1]OUT_SyntheticFuels!$A$4:$A$1000)*1,("Var_Fout"=[1]OUT_SyntheticFuels!$B$4:$B$1000)*1,[1]OUT_SyntheticFuels!H$4:H$1000)</f>
        <v>0.77952785239238054</v>
      </c>
      <c r="J582" s="1" cm="1">
        <f t="array" ref="J582">SUMPRODUCT(("CT_CWODBDS"=[1]OUT_SyntheticFuels!$C$4:$C$1000)*1,("BDS"=[1]OUT_SyntheticFuels!$A$4:$A$1000)*1,("Var_Fout"=[1]OUT_SyntheticFuels!$B$4:$B$1000)*1,[1]OUT_SyntheticFuels!I$4:I$1000)</f>
        <v>0.46672038973496449</v>
      </c>
      <c r="K582" s="1" cm="1">
        <f t="array" ref="K582">SUMPRODUCT(("CT_CWODBDS"=[1]OUT_SyntheticFuels!$C$4:$C$1000)*1,("BDS"=[1]OUT_SyntheticFuels!$A$4:$A$1000)*1,("Var_Fout"=[1]OUT_SyntheticFuels!$B$4:$B$1000)*1,[1]OUT_SyntheticFuels!J$4:J$1000)</f>
        <v>2.7047236869804563E-5</v>
      </c>
    </row>
    <row r="583" spans="2:11" x14ac:dyDescent="0.35">
      <c r="B583" s="5" t="str">
        <f t="shared" si="349"/>
        <v>SPS3</v>
      </c>
      <c r="C583" s="5" t="s">
        <v>7</v>
      </c>
      <c r="D583" t="s">
        <v>305</v>
      </c>
      <c r="E583" s="5" t="s">
        <v>8</v>
      </c>
      <c r="F583" s="1" cm="1">
        <f t="array" ref="F583">SUMPRODUCT(("CT_CWODBDSCCS"=[1]OUT_SyntheticFuels!$C$4:$C$1000)*1,("BDS"=[1]OUT_SyntheticFuels!$A$4:$A$1000)*1,("Var_Fout"=[1]OUT_SyntheticFuels!$B$4:$B$1000)*1,[1]OUT_SyntheticFuels!E$4:E$1000)</f>
        <v>0</v>
      </c>
      <c r="G583" s="1" cm="1">
        <f t="array" ref="G583">SUMPRODUCT(("CT_CWODBDSCCS"=[1]OUT_SyntheticFuels!$C$4:$C$1000)*1,("BDS"=[1]OUT_SyntheticFuels!$A$4:$A$1000)*1,("Var_Fout"=[1]OUT_SyntheticFuels!$B$4:$B$1000)*1,[1]OUT_SyntheticFuels!F$4:F$1000)</f>
        <v>0</v>
      </c>
      <c r="H583" s="1" cm="1">
        <f t="array" ref="H583">SUMPRODUCT(("CT_CWODBDSCCS"=[1]OUT_SyntheticFuels!$C$4:$C$1000)*1,("BDS"=[1]OUT_SyntheticFuels!$A$4:$A$1000)*1,("Var_Fout"=[1]OUT_SyntheticFuels!$B$4:$B$1000)*1,[1]OUT_SyntheticFuels!G$4:G$1000)</f>
        <v>0</v>
      </c>
      <c r="I583" s="1" cm="1">
        <f t="array" ref="I583">SUMPRODUCT(("CT_CWODBDSCCS"=[1]OUT_SyntheticFuels!$C$4:$C$1000)*1,("BDS"=[1]OUT_SyntheticFuels!$A$4:$A$1000)*1,("Var_Fout"=[1]OUT_SyntheticFuels!$B$4:$B$1000)*1,[1]OUT_SyntheticFuels!H$4:H$1000)</f>
        <v>0</v>
      </c>
      <c r="J583" s="1" cm="1">
        <f t="array" ref="J583">SUMPRODUCT(("CT_CWODBDSCCS"=[1]OUT_SyntheticFuels!$C$4:$C$1000)*1,("BDS"=[1]OUT_SyntheticFuels!$A$4:$A$1000)*1,("Var_Fout"=[1]OUT_SyntheticFuels!$B$4:$B$1000)*1,[1]OUT_SyntheticFuels!I$4:I$1000)</f>
        <v>3.7417764133767801E-5</v>
      </c>
      <c r="K583" s="1" cm="1">
        <f t="array" ref="K583">SUMPRODUCT(("CT_CWODBDSCCS"=[1]OUT_SyntheticFuels!$C$4:$C$1000)*1,("BDS"=[1]OUT_SyntheticFuels!$A$4:$A$1000)*1,("Var_Fout"=[1]OUT_SyntheticFuels!$B$4:$B$1000)*1,[1]OUT_SyntheticFuels!J$4:J$1000)</f>
        <v>0.27942547729950917</v>
      </c>
    </row>
    <row r="584" spans="2:11" x14ac:dyDescent="0.35">
      <c r="B584" s="9" t="str">
        <f t="shared" si="349"/>
        <v>SPS3</v>
      </c>
      <c r="C584" s="9" t="s">
        <v>7</v>
      </c>
      <c r="D584" s="2" t="s">
        <v>370</v>
      </c>
      <c r="E584" s="9" t="s">
        <v>8</v>
      </c>
      <c r="F584" s="3">
        <f>F585</f>
        <v>0.30775814799983447</v>
      </c>
      <c r="G584" s="3">
        <f t="shared" ref="G584:K584" si="360">G585</f>
        <v>0.24852582954351907</v>
      </c>
      <c r="H584" s="3">
        <f t="shared" si="360"/>
        <v>0.27547223260382764</v>
      </c>
      <c r="I584" s="3">
        <f t="shared" si="360"/>
        <v>0.30401586243302753</v>
      </c>
      <c r="J584" s="3">
        <f t="shared" si="360"/>
        <v>0.18203554492464794</v>
      </c>
      <c r="K584" s="3">
        <f t="shared" si="360"/>
        <v>0.10898648456918764</v>
      </c>
    </row>
    <row r="585" spans="2:11" x14ac:dyDescent="0.35">
      <c r="B585" s="5" t="str">
        <f t="shared" si="349"/>
        <v>SPS3</v>
      </c>
      <c r="C585" s="5" t="s">
        <v>7</v>
      </c>
      <c r="D585" t="s">
        <v>904</v>
      </c>
      <c r="E585" s="5" t="s">
        <v>8</v>
      </c>
      <c r="F585" s="1">
        <f>SUM(F586:F587)</f>
        <v>0.30775814799983447</v>
      </c>
      <c r="G585" s="1">
        <f t="shared" ref="G585:K585" si="361">SUM(G586:G587)</f>
        <v>0.24852582954351907</v>
      </c>
      <c r="H585" s="1">
        <f t="shared" si="361"/>
        <v>0.27547223260382764</v>
      </c>
      <c r="I585" s="1">
        <f t="shared" si="361"/>
        <v>0.30401586243302753</v>
      </c>
      <c r="J585" s="1">
        <f t="shared" si="361"/>
        <v>0.18203554492464794</v>
      </c>
      <c r="K585" s="1">
        <f t="shared" si="361"/>
        <v>0.10898648456918764</v>
      </c>
    </row>
    <row r="586" spans="2:11" x14ac:dyDescent="0.35">
      <c r="B586" s="5" t="str">
        <f t="shared" si="349"/>
        <v>SPS3</v>
      </c>
      <c r="C586" s="5" t="s">
        <v>7</v>
      </c>
      <c r="D586" t="s">
        <v>307</v>
      </c>
      <c r="E586" s="5" t="s">
        <v>8</v>
      </c>
      <c r="F586" s="1" cm="1">
        <f t="array" ref="F586">SUMPRODUCT(("CT_CWODBDS"=[1]OUT_SyntheticFuels!$C$4:$C$1000)*1,("LTH"=[1]OUT_SyntheticFuels!$A$4:$A$1000)*1,("Var_Fout"=[1]OUT_SyntheticFuels!$B$4:$B$1000)*1,[1]OUT_SyntheticFuels!E$4:E$1000)</f>
        <v>0.30775814799983447</v>
      </c>
      <c r="G586" s="1" cm="1">
        <f t="array" ref="G586">SUMPRODUCT(("CT_CWODBDS"=[1]OUT_SyntheticFuels!$C$4:$C$1000)*1,("LTH"=[1]OUT_SyntheticFuels!$A$4:$A$1000)*1,("Var_Fout"=[1]OUT_SyntheticFuels!$B$4:$B$1000)*1,[1]OUT_SyntheticFuels!F$4:F$1000)</f>
        <v>0.24852582954351907</v>
      </c>
      <c r="H586" s="1" cm="1">
        <f t="array" ref="H586">SUMPRODUCT(("CT_CWODBDS"=[1]OUT_SyntheticFuels!$C$4:$C$1000)*1,("LTH"=[1]OUT_SyntheticFuels!$A$4:$A$1000)*1,("Var_Fout"=[1]OUT_SyntheticFuels!$B$4:$B$1000)*1,[1]OUT_SyntheticFuels!G$4:G$1000)</f>
        <v>0.27547223260382764</v>
      </c>
      <c r="I586" s="1" cm="1">
        <f t="array" ref="I586">SUMPRODUCT(("CT_CWODBDS"=[1]OUT_SyntheticFuels!$C$4:$C$1000)*1,("LTH"=[1]OUT_SyntheticFuels!$A$4:$A$1000)*1,("Var_Fout"=[1]OUT_SyntheticFuels!$B$4:$B$1000)*1,[1]OUT_SyntheticFuels!H$4:H$1000)</f>
        <v>0.30401586243302753</v>
      </c>
      <c r="J586" s="1" cm="1">
        <f t="array" ref="J586">SUMPRODUCT(("CT_CWODBDS"=[1]OUT_SyntheticFuels!$C$4:$C$1000)*1,("LTH"=[1]OUT_SyntheticFuels!$A$4:$A$1000)*1,("Var_Fout"=[1]OUT_SyntheticFuels!$B$4:$B$1000)*1,[1]OUT_SyntheticFuels!I$4:I$1000)</f>
        <v>0.18202095199663576</v>
      </c>
      <c r="K586" s="1" cm="1">
        <f t="array" ref="K586">SUMPRODUCT(("CT_CWODBDS"=[1]OUT_SyntheticFuels!$C$4:$C$1000)*1,("LTH"=[1]OUT_SyntheticFuels!$A$4:$A$1000)*1,("Var_Fout"=[1]OUT_SyntheticFuels!$B$4:$B$1000)*1,[1]OUT_SyntheticFuels!J$4:J$1000)</f>
        <v>1.0548422379223766E-5</v>
      </c>
    </row>
    <row r="587" spans="2:11" x14ac:dyDescent="0.35">
      <c r="B587" s="5" t="str">
        <f t="shared" si="349"/>
        <v>SPS3</v>
      </c>
      <c r="C587" s="5" t="s">
        <v>7</v>
      </c>
      <c r="D587" t="s">
        <v>308</v>
      </c>
      <c r="E587" s="5" t="s">
        <v>8</v>
      </c>
      <c r="F587" s="1" cm="1">
        <f t="array" ref="F587">SUMPRODUCT(("CT_CWODBDSCCS"=[1]OUT_SyntheticFuels!$C$4:$C$1000)*1,("LTH"=[1]OUT_SyntheticFuels!$A$4:$A$1000)*1,("Var_Fout"=[1]OUT_SyntheticFuels!$B$4:$B$1000)*1,[1]OUT_SyntheticFuels!E$4:E$1000)</f>
        <v>0</v>
      </c>
      <c r="G587" s="1" cm="1">
        <f t="array" ref="G587">SUMPRODUCT(("CT_CWODBDSCCS"=[1]OUT_SyntheticFuels!$C$4:$C$1000)*1,("LTH"=[1]OUT_SyntheticFuels!$A$4:$A$1000)*1,("Var_Fout"=[1]OUT_SyntheticFuels!$B$4:$B$1000)*1,[1]OUT_SyntheticFuels!F$4:F$1000)</f>
        <v>0</v>
      </c>
      <c r="H587" s="1" cm="1">
        <f t="array" ref="H587">SUMPRODUCT(("CT_CWODBDSCCS"=[1]OUT_SyntheticFuels!$C$4:$C$1000)*1,("LTH"=[1]OUT_SyntheticFuels!$A$4:$A$1000)*1,("Var_Fout"=[1]OUT_SyntheticFuels!$B$4:$B$1000)*1,[1]OUT_SyntheticFuels!G$4:G$1000)</f>
        <v>0</v>
      </c>
      <c r="I587" s="1" cm="1">
        <f t="array" ref="I587">SUMPRODUCT(("CT_CWODBDSCCS"=[1]OUT_SyntheticFuels!$C$4:$C$1000)*1,("LTH"=[1]OUT_SyntheticFuels!$A$4:$A$1000)*1,("Var_Fout"=[1]OUT_SyntheticFuels!$B$4:$B$1000)*1,[1]OUT_SyntheticFuels!H$4:H$1000)</f>
        <v>0</v>
      </c>
      <c r="J587" s="1" cm="1">
        <f t="array" ref="J587">SUMPRODUCT(("CT_CWODBDSCCS"=[1]OUT_SyntheticFuels!$C$4:$C$1000)*1,("LTH"=[1]OUT_SyntheticFuels!$A$4:$A$1000)*1,("Var_Fout"=[1]OUT_SyntheticFuels!$B$4:$B$1000)*1,[1]OUT_SyntheticFuels!I$4:I$1000)</f>
        <v>1.4592928012169423E-5</v>
      </c>
      <c r="K587" s="1" cm="1">
        <f t="array" ref="K587">SUMPRODUCT(("CT_CWODBDSCCS"=[1]OUT_SyntheticFuels!$C$4:$C$1000)*1,("LTH"=[1]OUT_SyntheticFuels!$A$4:$A$1000)*1,("Var_Fout"=[1]OUT_SyntheticFuels!$B$4:$B$1000)*1,[1]OUT_SyntheticFuels!J$4:J$1000)</f>
        <v>0.10897593614680841</v>
      </c>
    </row>
    <row r="588" spans="2:11" x14ac:dyDescent="0.35">
      <c r="B588" s="9" t="str">
        <f t="shared" si="349"/>
        <v>SPS3</v>
      </c>
      <c r="C588" s="9" t="s">
        <v>7</v>
      </c>
      <c r="D588" s="2" t="s">
        <v>373</v>
      </c>
      <c r="E588" s="9" t="s">
        <v>8</v>
      </c>
      <c r="F588" s="3">
        <f>F589+F592</f>
        <v>2.3034513692603027</v>
      </c>
      <c r="G588" s="3">
        <f t="shared" ref="G588:K588" si="362">G589+G592</f>
        <v>1.860120247275725</v>
      </c>
      <c r="H588" s="3">
        <f t="shared" si="362"/>
        <v>2.0618037101809574</v>
      </c>
      <c r="I588" s="3">
        <f t="shared" si="362"/>
        <v>2.2754418011333568</v>
      </c>
      <c r="J588" s="3">
        <f t="shared" si="362"/>
        <v>1.3624682691195305</v>
      </c>
      <c r="K588" s="3">
        <f t="shared" si="362"/>
        <v>0.83236769398367394</v>
      </c>
    </row>
    <row r="589" spans="2:11" x14ac:dyDescent="0.35">
      <c r="B589" s="5" t="str">
        <f t="shared" si="349"/>
        <v>SPS3</v>
      </c>
      <c r="C589" s="5" t="s">
        <v>7</v>
      </c>
      <c r="D589" t="s">
        <v>905</v>
      </c>
      <c r="E589" s="5" t="s">
        <v>8</v>
      </c>
      <c r="F589" s="1">
        <f>SUM(F590:F591)</f>
        <v>2.2486072890398194</v>
      </c>
      <c r="G589" s="1">
        <f t="shared" ref="G589:K589" si="363">SUM(G590:G591)</f>
        <v>1.8158316699596362</v>
      </c>
      <c r="H589" s="1">
        <f t="shared" si="363"/>
        <v>2.0127131456528393</v>
      </c>
      <c r="I589" s="1">
        <f t="shared" si="363"/>
        <v>2.2212646153920863</v>
      </c>
      <c r="J589" s="1">
        <f t="shared" si="363"/>
        <v>1.3300263724686798</v>
      </c>
      <c r="K589" s="1">
        <f t="shared" si="363"/>
        <v>0.79629996866641062</v>
      </c>
    </row>
    <row r="590" spans="2:11" x14ac:dyDescent="0.35">
      <c r="B590" s="5" t="str">
        <f t="shared" si="349"/>
        <v>SPS3</v>
      </c>
      <c r="C590" s="5" t="s">
        <v>7</v>
      </c>
      <c r="D590" t="s">
        <v>325</v>
      </c>
      <c r="E590" s="5" t="s">
        <v>8</v>
      </c>
      <c r="F590" s="1" cm="1">
        <f t="array" ref="F590">SUMPRODUCT(("CT_CWODBDS"=[1]OUT_SyntheticFuels!$C$4:$C$1000)*1,("CWOD"=[1]OUT_SyntheticFuels!$A$4:$A$1000)*1,("Var_Fin"=[1]OUT_SyntheticFuels!$B$4:$B$1000)*1,[1]OUT_SyntheticFuels!E$4:E$1000)</f>
        <v>2.2486072890398194</v>
      </c>
      <c r="G590" s="1" cm="1">
        <f t="array" ref="G590">SUMPRODUCT(("CT_CWODBDS"=[1]OUT_SyntheticFuels!$C$4:$C$1000)*1,("CWOD"=[1]OUT_SyntheticFuels!$A$4:$A$1000)*1,("Var_Fin"=[1]OUT_SyntheticFuels!$B$4:$B$1000)*1,[1]OUT_SyntheticFuels!F$4:F$1000)</f>
        <v>1.8158316699596362</v>
      </c>
      <c r="H590" s="1" cm="1">
        <f t="array" ref="H590">SUMPRODUCT(("CT_CWODBDS"=[1]OUT_SyntheticFuels!$C$4:$C$1000)*1,("CWOD"=[1]OUT_SyntheticFuels!$A$4:$A$1000)*1,("Var_Fin"=[1]OUT_SyntheticFuels!$B$4:$B$1000)*1,[1]OUT_SyntheticFuels!G$4:G$1000)</f>
        <v>2.0127131456528393</v>
      </c>
      <c r="I590" s="1" cm="1">
        <f t="array" ref="I590">SUMPRODUCT(("CT_CWODBDS"=[1]OUT_SyntheticFuels!$C$4:$C$1000)*1,("CWOD"=[1]OUT_SyntheticFuels!$A$4:$A$1000)*1,("Var_Fin"=[1]OUT_SyntheticFuels!$B$4:$B$1000)*1,[1]OUT_SyntheticFuels!H$4:H$1000)</f>
        <v>2.2212646153920863</v>
      </c>
      <c r="J590" s="1" cm="1">
        <f t="array" ref="J590">SUMPRODUCT(("CT_CWODBDS"=[1]OUT_SyntheticFuels!$C$4:$C$1000)*1,("CWOD"=[1]OUT_SyntheticFuels!$A$4:$A$1000)*1,("Var_Fin"=[1]OUT_SyntheticFuels!$B$4:$B$1000)*1,[1]OUT_SyntheticFuels!I$4:I$1000)</f>
        <v>1.3299197505497806</v>
      </c>
      <c r="K590" s="1" cm="1">
        <f t="array" ref="K590">SUMPRODUCT(("CT_CWODBDS"=[1]OUT_SyntheticFuels!$C$4:$C$1000)*1,("CWOD"=[1]OUT_SyntheticFuels!$A$4:$A$1000)*1,("Var_Fin"=[1]OUT_SyntheticFuels!$B$4:$B$1000)*1,[1]OUT_SyntheticFuels!J$4:J$1000)</f>
        <v>7.707110146050804E-5</v>
      </c>
    </row>
    <row r="591" spans="2:11" x14ac:dyDescent="0.35">
      <c r="B591" s="5" t="str">
        <f t="shared" si="349"/>
        <v>SPS3</v>
      </c>
      <c r="C591" s="5" t="s">
        <v>7</v>
      </c>
      <c r="D591" t="s">
        <v>326</v>
      </c>
      <c r="E591" s="5" t="s">
        <v>8</v>
      </c>
      <c r="F591" s="1" cm="1">
        <f t="array" ref="F591">SUMPRODUCT(("CT_CWODBDSCCS"=[1]OUT_SyntheticFuels!$C$4:$C$1000)*1,("CWOD"=[1]OUT_SyntheticFuels!$A$4:$A$1000)*1,("Var_Fin"=[1]OUT_SyntheticFuels!$B$4:$B$1000)*1,[1]OUT_SyntheticFuels!E$4:E$1000)</f>
        <v>0</v>
      </c>
      <c r="G591" s="1" cm="1">
        <f t="array" ref="G591">SUMPRODUCT(("CT_CWODBDSCCS"=[1]OUT_SyntheticFuels!$C$4:$C$1000)*1,("CWOD"=[1]OUT_SyntheticFuels!$A$4:$A$1000)*1,("Var_Fin"=[1]OUT_SyntheticFuels!$B$4:$B$1000)*1,[1]OUT_SyntheticFuels!F$4:F$1000)</f>
        <v>0</v>
      </c>
      <c r="H591" s="1" cm="1">
        <f t="array" ref="H591">SUMPRODUCT(("CT_CWODBDSCCS"=[1]OUT_SyntheticFuels!$C$4:$C$1000)*1,("CWOD"=[1]OUT_SyntheticFuels!$A$4:$A$1000)*1,("Var_Fin"=[1]OUT_SyntheticFuels!$B$4:$B$1000)*1,[1]OUT_SyntheticFuels!G$4:G$1000)</f>
        <v>0</v>
      </c>
      <c r="I591" s="1" cm="1">
        <f t="array" ref="I591">SUMPRODUCT(("CT_CWODBDSCCS"=[1]OUT_SyntheticFuels!$C$4:$C$1000)*1,("CWOD"=[1]OUT_SyntheticFuels!$A$4:$A$1000)*1,("Var_Fin"=[1]OUT_SyntheticFuels!$B$4:$B$1000)*1,[1]OUT_SyntheticFuels!H$4:H$1000)</f>
        <v>0</v>
      </c>
      <c r="J591" s="1" cm="1">
        <f t="array" ref="J591">SUMPRODUCT(("CT_CWODBDSCCS"=[1]OUT_SyntheticFuels!$C$4:$C$1000)*1,("CWOD"=[1]OUT_SyntheticFuels!$A$4:$A$1000)*1,("Var_Fin"=[1]OUT_SyntheticFuels!$B$4:$B$1000)*1,[1]OUT_SyntheticFuels!I$4:I$1000)</f>
        <v>1.0662191889917131E-4</v>
      </c>
      <c r="K591" s="1" cm="1">
        <f t="array" ref="K591">SUMPRODUCT(("CT_CWODBDSCCS"=[1]OUT_SyntheticFuels!$C$4:$C$1000)*1,("CWOD"=[1]OUT_SyntheticFuels!$A$4:$A$1000)*1,("Var_Fin"=[1]OUT_SyntheticFuels!$B$4:$B$1000)*1,[1]OUT_SyntheticFuels!J$4:J$1000)</f>
        <v>0.79622289756495013</v>
      </c>
    </row>
    <row r="592" spans="2:11" x14ac:dyDescent="0.35">
      <c r="B592" s="5" t="str">
        <f t="shared" si="349"/>
        <v>SPS3</v>
      </c>
      <c r="C592" s="5" t="s">
        <v>7</v>
      </c>
      <c r="D592" t="s">
        <v>906</v>
      </c>
      <c r="E592" s="5" t="s">
        <v>8</v>
      </c>
      <c r="F592" s="1">
        <f>SUM(F593:F594)</f>
        <v>5.4844080220483427E-2</v>
      </c>
      <c r="G592" s="1">
        <f t="shared" ref="G592:K592" si="364">SUM(G593:G594)</f>
        <v>4.4288577316088734E-2</v>
      </c>
      <c r="H592" s="1">
        <f t="shared" si="364"/>
        <v>4.9090564528118032E-2</v>
      </c>
      <c r="I592" s="1">
        <f t="shared" si="364"/>
        <v>5.4177185741270464E-2</v>
      </c>
      <c r="J592" s="1">
        <f t="shared" si="364"/>
        <v>3.2441896650850711E-2</v>
      </c>
      <c r="K592" s="1">
        <f t="shared" si="364"/>
        <v>3.6067725317263322E-2</v>
      </c>
    </row>
    <row r="593" spans="2:11" x14ac:dyDescent="0.35">
      <c r="B593" s="5" t="str">
        <f t="shared" si="349"/>
        <v>SPS3</v>
      </c>
      <c r="C593" s="5" t="s">
        <v>7</v>
      </c>
      <c r="D593" t="s">
        <v>327</v>
      </c>
      <c r="E593" s="5" t="s">
        <v>8</v>
      </c>
      <c r="F593" s="1" cm="1">
        <f t="array" ref="F593">SUMPRODUCT(("CT_CWODBDS"=[1]OUT_SyntheticFuels!$C$4:$C$1000)*1,("Celc"=[1]OUT_SyntheticFuels!$A$4:$A$1000)*1,("Var_Fin"=[1]OUT_SyntheticFuels!$B$4:$B$1000)*1,[1]OUT_SyntheticFuels!E$4:E$1000)</f>
        <v>5.4844080220483427E-2</v>
      </c>
      <c r="G593" s="1" cm="1">
        <f t="array" ref="G593">SUMPRODUCT(("CT_CWODBDS"=[1]OUT_SyntheticFuels!$C$4:$C$1000)*1,("Celc"=[1]OUT_SyntheticFuels!$A$4:$A$1000)*1,("Var_Fin"=[1]OUT_SyntheticFuels!$B$4:$B$1000)*1,[1]OUT_SyntheticFuels!F$4:F$1000)</f>
        <v>4.4288577316088734E-2</v>
      </c>
      <c r="H593" s="1" cm="1">
        <f t="array" ref="H593">SUMPRODUCT(("CT_CWODBDS"=[1]OUT_SyntheticFuels!$C$4:$C$1000)*1,("Celc"=[1]OUT_SyntheticFuels!$A$4:$A$1000)*1,("Var_Fin"=[1]OUT_SyntheticFuels!$B$4:$B$1000)*1,[1]OUT_SyntheticFuels!G$4:G$1000)</f>
        <v>4.9090564528118032E-2</v>
      </c>
      <c r="I593" s="1" cm="1">
        <f t="array" ref="I593">SUMPRODUCT(("CT_CWODBDS"=[1]OUT_SyntheticFuels!$C$4:$C$1000)*1,("Celc"=[1]OUT_SyntheticFuels!$A$4:$A$1000)*1,("Var_Fin"=[1]OUT_SyntheticFuels!$B$4:$B$1000)*1,[1]OUT_SyntheticFuels!H$4:H$1000)</f>
        <v>5.4177185741270464E-2</v>
      </c>
      <c r="J593" s="1" cm="1">
        <f t="array" ref="J593">SUMPRODUCT(("CT_CWODBDS"=[1]OUT_SyntheticFuels!$C$4:$C$1000)*1,("Celc"=[1]OUT_SyntheticFuels!$A$4:$A$1000)*1,("Var_Fin"=[1]OUT_SyntheticFuels!$B$4:$B$1000)*1,[1]OUT_SyntheticFuels!I$4:I$1000)</f>
        <v>3.2437067086580014E-2</v>
      </c>
      <c r="K593" s="1" cm="1">
        <f t="array" ref="K593">SUMPRODUCT(("CT_CWODBDS"=[1]OUT_SyntheticFuels!$C$4:$C$1000)*1,("Celc"=[1]OUT_SyntheticFuels!$A$4:$A$1000)*1,("Var_Fin"=[1]OUT_SyntheticFuels!$B$4:$B$1000)*1,[1]OUT_SyntheticFuels!J$4:J$1000)</f>
        <v>1.879782962451418E-6</v>
      </c>
    </row>
    <row r="594" spans="2:11" x14ac:dyDescent="0.35">
      <c r="B594" s="5" t="str">
        <f t="shared" si="349"/>
        <v>SPS3</v>
      </c>
      <c r="C594" s="5" t="s">
        <v>7</v>
      </c>
      <c r="D594" t="s">
        <v>328</v>
      </c>
      <c r="E594" s="5" t="s">
        <v>8</v>
      </c>
      <c r="F594" s="1" cm="1">
        <f t="array" ref="F594">SUMPRODUCT(("CT_CWODBDSCCS"=[1]OUT_SyntheticFuels!$C$4:$C$1000)*1,("Celc"=[1]OUT_SyntheticFuels!$A$4:$A$1000)*1,("Var_Fin"=[1]OUT_SyntheticFuels!$B$4:$B$1000)*1,[1]OUT_SyntheticFuels!E$4:E$1000)</f>
        <v>0</v>
      </c>
      <c r="G594" s="1" cm="1">
        <f t="array" ref="G594">SUMPRODUCT(("CT_CWODBDSCCS"=[1]OUT_SyntheticFuels!$C$4:$C$1000)*1,("Celc"=[1]OUT_SyntheticFuels!$A$4:$A$1000)*1,("Var_Fin"=[1]OUT_SyntheticFuels!$B$4:$B$1000)*1,[1]OUT_SyntheticFuels!F$4:F$1000)</f>
        <v>0</v>
      </c>
      <c r="H594" s="1" cm="1">
        <f t="array" ref="H594">SUMPRODUCT(("CT_CWODBDSCCS"=[1]OUT_SyntheticFuels!$C$4:$C$1000)*1,("Celc"=[1]OUT_SyntheticFuels!$A$4:$A$1000)*1,("Var_Fin"=[1]OUT_SyntheticFuels!$B$4:$B$1000)*1,[1]OUT_SyntheticFuels!G$4:G$1000)</f>
        <v>0</v>
      </c>
      <c r="I594" s="1" cm="1">
        <f t="array" ref="I594">SUMPRODUCT(("CT_CWODBDSCCS"=[1]OUT_SyntheticFuels!$C$4:$C$1000)*1,("Celc"=[1]OUT_SyntheticFuels!$A$4:$A$1000)*1,("Var_Fin"=[1]OUT_SyntheticFuels!$B$4:$B$1000)*1,[1]OUT_SyntheticFuels!H$4:H$1000)</f>
        <v>0</v>
      </c>
      <c r="J594" s="1" cm="1">
        <f t="array" ref="J594">SUMPRODUCT(("CT_CWODBDSCCS"=[1]OUT_SyntheticFuels!$C$4:$C$1000)*1,("Celc"=[1]OUT_SyntheticFuels!$A$4:$A$1000)*1,("Var_Fin"=[1]OUT_SyntheticFuels!$B$4:$B$1000)*1,[1]OUT_SyntheticFuels!I$4:I$1000)</f>
        <v>4.8295642706941745E-6</v>
      </c>
      <c r="K594" s="1" cm="1">
        <f t="array" ref="K594">SUMPRODUCT(("CT_CWODBDSCCS"=[1]OUT_SyntheticFuels!$C$4:$C$1000)*1,("Celc"=[1]OUT_SyntheticFuels!$A$4:$A$1000)*1,("Var_Fin"=[1]OUT_SyntheticFuels!$B$4:$B$1000)*1,[1]OUT_SyntheticFuels!J$4:J$1000)</f>
        <v>3.6065845534300874E-2</v>
      </c>
    </row>
    <row r="595" spans="2:11" x14ac:dyDescent="0.35">
      <c r="B595" s="9" t="str">
        <f t="shared" si="349"/>
        <v>SPS3</v>
      </c>
      <c r="C595" s="9" t="s">
        <v>7</v>
      </c>
      <c r="D595" s="2" t="s">
        <v>306</v>
      </c>
      <c r="E595" s="9" t="s">
        <v>240</v>
      </c>
      <c r="F595" t="s">
        <v>292</v>
      </c>
      <c r="G595" t="s">
        <v>292</v>
      </c>
      <c r="H595" t="s">
        <v>292</v>
      </c>
      <c r="I595" t="s">
        <v>292</v>
      </c>
      <c r="J595" t="s">
        <v>292</v>
      </c>
      <c r="K595" t="s">
        <v>292</v>
      </c>
    </row>
    <row r="596" spans="2:11" x14ac:dyDescent="0.35">
      <c r="B596" s="5" t="str">
        <f t="shared" si="349"/>
        <v>SPS3</v>
      </c>
      <c r="C596" s="5" t="s">
        <v>7</v>
      </c>
      <c r="D596" t="s">
        <v>309</v>
      </c>
      <c r="E596" s="5" t="s">
        <v>240</v>
      </c>
      <c r="F596" s="4">
        <f>IFERROR(SUM(F582,F586)/SUM(F590,F593),"-")</f>
        <v>0.47619047619047594</v>
      </c>
      <c r="G596" s="4">
        <f t="shared" ref="G596:K597" si="365">IFERROR(SUM(G582,G586)/SUM(G590,G593),"-")</f>
        <v>0.47619047619047666</v>
      </c>
      <c r="H596" s="4">
        <f t="shared" si="365"/>
        <v>0.47619047619047616</v>
      </c>
      <c r="I596" s="4">
        <f t="shared" si="365"/>
        <v>0.47619047619047622</v>
      </c>
      <c r="J596" s="4">
        <f t="shared" si="365"/>
        <v>0.47619047619047611</v>
      </c>
      <c r="K596" s="4">
        <f t="shared" si="365"/>
        <v>0.47619047619047633</v>
      </c>
    </row>
    <row r="597" spans="2:11" x14ac:dyDescent="0.35">
      <c r="B597" s="5" t="str">
        <f t="shared" si="349"/>
        <v>SPS3</v>
      </c>
      <c r="C597" s="5" t="s">
        <v>7</v>
      </c>
      <c r="D597" t="s">
        <v>310</v>
      </c>
      <c r="E597" s="5" t="s">
        <v>240</v>
      </c>
      <c r="F597" s="4" t="str">
        <f>IFERROR(SUM(F583,F587)/SUM(F591,F594),"-")</f>
        <v>-</v>
      </c>
      <c r="G597" s="4" t="str">
        <f t="shared" si="365"/>
        <v>-</v>
      </c>
      <c r="H597" s="4" t="str">
        <f t="shared" si="365"/>
        <v>-</v>
      </c>
      <c r="I597" s="4" t="str">
        <f t="shared" si="365"/>
        <v>-</v>
      </c>
      <c r="J597" s="4">
        <f t="shared" si="365"/>
        <v>0.46666666666666662</v>
      </c>
      <c r="K597" s="4">
        <f t="shared" si="365"/>
        <v>0.46666666666666717</v>
      </c>
    </row>
    <row r="598" spans="2:11" x14ac:dyDescent="0.35">
      <c r="B598" s="9" t="str">
        <f t="shared" si="349"/>
        <v>SPS3</v>
      </c>
      <c r="C598" s="9" t="s">
        <v>7</v>
      </c>
      <c r="D598" s="2" t="s">
        <v>376</v>
      </c>
      <c r="E598" s="9" t="s">
        <v>8</v>
      </c>
      <c r="F598" s="1">
        <f>[1]Other_transformation!B$12</f>
        <v>0.13344961950470954</v>
      </c>
      <c r="G598" s="1">
        <f>[1]Other_transformation!C$12</f>
        <v>0.21808137897829813</v>
      </c>
      <c r="H598" s="1">
        <f>[1]Other_transformation!D$12</f>
        <v>0.21884515964351098</v>
      </c>
      <c r="I598" s="1">
        <f>[1]Other_transformation!E$12</f>
        <v>0.1886782235643133</v>
      </c>
      <c r="J598" s="1">
        <f>[1]Other_transformation!F$12</f>
        <v>2.8881438668133444E-5</v>
      </c>
      <c r="K598" s="1">
        <f>[1]Other_transformation!G$12</f>
        <v>1.1051492423762935E-5</v>
      </c>
    </row>
    <row r="599" spans="2:11" x14ac:dyDescent="0.35">
      <c r="B599" s="5" t="str">
        <f t="shared" si="349"/>
        <v>SPS3</v>
      </c>
      <c r="C599" s="5" t="s">
        <v>7</v>
      </c>
      <c r="D599" t="s">
        <v>2165</v>
      </c>
      <c r="E599" t="str">
        <f>E598</f>
        <v>PJ/yr.</v>
      </c>
      <c r="F599" s="1">
        <f>SUM(F600:F601)</f>
        <v>0.13344961950470954</v>
      </c>
      <c r="G599" s="1">
        <f t="shared" ref="G599:K599" si="366">SUM(G600:G601)</f>
        <v>0.21808137897829813</v>
      </c>
      <c r="H599" s="1">
        <f t="shared" si="366"/>
        <v>0.21884515964351098</v>
      </c>
      <c r="I599" s="1">
        <f t="shared" si="366"/>
        <v>0.1886782235643133</v>
      </c>
      <c r="J599" s="1">
        <f t="shared" si="366"/>
        <v>2.8881438668133444E-5</v>
      </c>
      <c r="K599" s="1">
        <f t="shared" si="366"/>
        <v>1.1051492423762935E-5</v>
      </c>
    </row>
    <row r="600" spans="2:11" x14ac:dyDescent="0.35">
      <c r="B600" s="5" t="str">
        <f t="shared" si="349"/>
        <v>SPS3</v>
      </c>
      <c r="C600" s="5" t="s">
        <v>7</v>
      </c>
      <c r="D600" t="s">
        <v>2166</v>
      </c>
      <c r="E600" t="str">
        <f t="shared" ref="E600:E601" si="367">E599</f>
        <v>PJ/yr.</v>
      </c>
      <c r="F600" s="1" cm="1">
        <f t="array" ref="F600">SUMPRODUCT(("CT_CWODETH"=[1]OUT_SyntheticFuels!$C$4:$C$1000)*1,("ETH"=[1]OUT_SyntheticFuels!$A$4:$A$1000)*1,("Var_Fout"=[1]OUT_SyntheticFuels!$B$4:$B$1000)*1,[1]OUT_SyntheticFuels!E$4:E$1000)</f>
        <v>0.13344961950470954</v>
      </c>
      <c r="G600" s="1" cm="1">
        <f t="array" ref="G600">SUMPRODUCT(("CT_CWODETH"=[1]OUT_SyntheticFuels!$C$4:$C$1000)*1,("ETH"=[1]OUT_SyntheticFuels!$A$4:$A$1000)*1,("Var_Fout"=[1]OUT_SyntheticFuels!$B$4:$B$1000)*1,[1]OUT_SyntheticFuels!F$4:F$1000)</f>
        <v>0.21808137897829813</v>
      </c>
      <c r="H600" s="1" cm="1">
        <f t="array" ref="H600">SUMPRODUCT(("CT_CWODETH"=[1]OUT_SyntheticFuels!$C$4:$C$1000)*1,("ETH"=[1]OUT_SyntheticFuels!$A$4:$A$1000)*1,("Var_Fout"=[1]OUT_SyntheticFuels!$B$4:$B$1000)*1,[1]OUT_SyntheticFuels!G$4:G$1000)</f>
        <v>0.21884515964351098</v>
      </c>
      <c r="I600" s="1" cm="1">
        <f t="array" ref="I600">SUMPRODUCT(("CT_CWODETH"=[1]OUT_SyntheticFuels!$C$4:$C$1000)*1,("ETH"=[1]OUT_SyntheticFuels!$A$4:$A$1000)*1,("Var_Fout"=[1]OUT_SyntheticFuels!$B$4:$B$1000)*1,[1]OUT_SyntheticFuels!H$4:H$1000)</f>
        <v>0.1886782235643133</v>
      </c>
      <c r="J600" s="1" cm="1">
        <f t="array" ref="J600">SUMPRODUCT(("CT_CWODETH"=[1]OUT_SyntheticFuels!$C$4:$C$1000)*1,("ETH"=[1]OUT_SyntheticFuels!$A$4:$A$1000)*1,("Var_Fout"=[1]OUT_SyntheticFuels!$B$4:$B$1000)*1,[1]OUT_SyntheticFuels!I$4:I$1000)</f>
        <v>1.6782173492988838E-5</v>
      </c>
      <c r="K600" s="1" cm="1">
        <f t="array" ref="K600">SUMPRODUCT(("CT_CWODETH"=[1]OUT_SyntheticFuels!$C$4:$C$1000)*1,("ETH"=[1]OUT_SyntheticFuels!$A$4:$A$1000)*1,("Var_Fout"=[1]OUT_SyntheticFuels!$B$4:$B$1000)*1,[1]OUT_SyntheticFuels!J$4:J$1000)</f>
        <v>6.0087468757567651E-6</v>
      </c>
    </row>
    <row r="601" spans="2:11" x14ac:dyDescent="0.35">
      <c r="B601" s="5" t="str">
        <f t="shared" si="349"/>
        <v>SPS3</v>
      </c>
      <c r="C601" s="5" t="s">
        <v>7</v>
      </c>
      <c r="D601" t="s">
        <v>2167</v>
      </c>
      <c r="E601" t="str">
        <f t="shared" si="367"/>
        <v>PJ/yr.</v>
      </c>
      <c r="F601" s="1" cm="1">
        <f t="array" ref="F601">SUMPRODUCT(("CT_CWODETHCCS"=[1]OUT_SyntheticFuels!$C$4:$C$1000)*1,("ETH"=[1]OUT_SyntheticFuels!$A$4:$A$1000)*1,("Var_Fout"=[1]OUT_SyntheticFuels!$B$4:$B$1000)*1,[1]OUT_SyntheticFuels!E$4:E$1000)</f>
        <v>0</v>
      </c>
      <c r="G601" s="1" cm="1">
        <f t="array" ref="G601">SUMPRODUCT(("CT_CWODETHCCS"=[1]OUT_SyntheticFuels!$C$4:$C$1000)*1,("ETH"=[1]OUT_SyntheticFuels!$A$4:$A$1000)*1,("Var_Fout"=[1]OUT_SyntheticFuels!$B$4:$B$1000)*1,[1]OUT_SyntheticFuels!F$4:F$1000)</f>
        <v>0</v>
      </c>
      <c r="H601" s="1" cm="1">
        <f t="array" ref="H601">SUMPRODUCT(("CT_CWODETHCCS"=[1]OUT_SyntheticFuels!$C$4:$C$1000)*1,("ETH"=[1]OUT_SyntheticFuels!$A$4:$A$1000)*1,("Var_Fout"=[1]OUT_SyntheticFuels!$B$4:$B$1000)*1,[1]OUT_SyntheticFuels!G$4:G$1000)</f>
        <v>0</v>
      </c>
      <c r="I601" s="1" cm="1">
        <f t="array" ref="I601">SUMPRODUCT(("CT_CWODETHCCS"=[1]OUT_SyntheticFuels!$C$4:$C$1000)*1,("ETH"=[1]OUT_SyntheticFuels!$A$4:$A$1000)*1,("Var_Fout"=[1]OUT_SyntheticFuels!$B$4:$B$1000)*1,[1]OUT_SyntheticFuels!H$4:H$1000)</f>
        <v>0</v>
      </c>
      <c r="J601" s="1" cm="1">
        <f t="array" ref="J601">SUMPRODUCT(("CT_CWODETHCCS"=[1]OUT_SyntheticFuels!$C$4:$C$1000)*1,("ETH"=[1]OUT_SyntheticFuels!$A$4:$A$1000)*1,("Var_Fout"=[1]OUT_SyntheticFuels!$B$4:$B$1000)*1,[1]OUT_SyntheticFuels!I$4:I$1000)</f>
        <v>1.2099265175144606E-5</v>
      </c>
      <c r="K601" s="1" cm="1">
        <f t="array" ref="K601">SUMPRODUCT(("CT_CWODETHCCS"=[1]OUT_SyntheticFuels!$C$4:$C$1000)*1,("ETH"=[1]OUT_SyntheticFuels!$A$4:$A$1000)*1,("Var_Fout"=[1]OUT_SyntheticFuels!$B$4:$B$1000)*1,[1]OUT_SyntheticFuels!J$4:J$1000)</f>
        <v>5.0427455480061711E-6</v>
      </c>
    </row>
    <row r="602" spans="2:11" x14ac:dyDescent="0.35">
      <c r="B602" s="9" t="str">
        <f t="shared" si="349"/>
        <v>SPS3</v>
      </c>
      <c r="C602" s="9" t="s">
        <v>7</v>
      </c>
      <c r="D602" s="2" t="s">
        <v>378</v>
      </c>
      <c r="E602" s="9" t="s">
        <v>8</v>
      </c>
      <c r="F602" s="3">
        <f>F603+F606</f>
        <v>0.49776708075256648</v>
      </c>
      <c r="G602" s="3">
        <f t="shared" ref="G602:K602" si="368">G603+G606</f>
        <v>0.81344354358905235</v>
      </c>
      <c r="H602" s="3">
        <f t="shared" si="368"/>
        <v>0.81629244547029589</v>
      </c>
      <c r="I602" s="3">
        <f t="shared" si="368"/>
        <v>0.70376977389488848</v>
      </c>
      <c r="J602" s="3">
        <f t="shared" si="368"/>
        <v>1.132934282127043E-4</v>
      </c>
      <c r="K602" s="3">
        <f t="shared" si="368"/>
        <v>4.3541729692718577E-5</v>
      </c>
    </row>
    <row r="603" spans="2:11" x14ac:dyDescent="0.35">
      <c r="B603" s="5" t="str">
        <f t="shared" si="349"/>
        <v>SPS3</v>
      </c>
      <c r="C603" s="5" t="s">
        <v>7</v>
      </c>
      <c r="D603" t="s">
        <v>907</v>
      </c>
      <c r="E603" s="5" t="s">
        <v>8</v>
      </c>
      <c r="F603" s="1">
        <f>SUM(F604:F605)</f>
        <v>0.27890970476484306</v>
      </c>
      <c r="G603" s="1">
        <f t="shared" ref="G603:K603" si="369">SUM(G604:G605)</f>
        <v>0.45579008206464344</v>
      </c>
      <c r="H603" s="1">
        <f t="shared" si="369"/>
        <v>0.457386383654938</v>
      </c>
      <c r="I603" s="1">
        <f t="shared" si="369"/>
        <v>0.39433748724941459</v>
      </c>
      <c r="J603" s="1">
        <f t="shared" si="369"/>
        <v>6.0362206816398936E-5</v>
      </c>
      <c r="K603" s="1">
        <f t="shared" si="369"/>
        <v>2.3097619165664526E-5</v>
      </c>
    </row>
    <row r="604" spans="2:11" x14ac:dyDescent="0.35">
      <c r="B604" s="5" t="str">
        <f t="shared" si="349"/>
        <v>SPS3</v>
      </c>
      <c r="C604" s="5" t="s">
        <v>7</v>
      </c>
      <c r="D604" t="s">
        <v>321</v>
      </c>
      <c r="E604" s="5" t="s">
        <v>8</v>
      </c>
      <c r="F604" s="1" cm="1">
        <f t="array" ref="F604">SUMPRODUCT(("CT_CWODETH"=[1]OUT_SyntheticFuels!$C$4:$C$1000)*1,("cwod"=[1]OUT_SyntheticFuels!$A$4:$A$1000)*1,("Var_Fin"=[1]OUT_SyntheticFuels!$B$4:$B$1000)*1,[1]OUT_SyntheticFuels!E$4:E$1000)</f>
        <v>0.27890970476484306</v>
      </c>
      <c r="G604" s="1" cm="1">
        <f t="array" ref="G604">SUMPRODUCT(("CT_CWODETH"=[1]OUT_SyntheticFuels!$C$4:$C$1000)*1,("cwod"=[1]OUT_SyntheticFuels!$A$4:$A$1000)*1,("Var_Fin"=[1]OUT_SyntheticFuels!$B$4:$B$1000)*1,[1]OUT_SyntheticFuels!F$4:F$1000)</f>
        <v>0.45579008206464344</v>
      </c>
      <c r="H604" s="1" cm="1">
        <f t="array" ref="H604">SUMPRODUCT(("CT_CWODETH"=[1]OUT_SyntheticFuels!$C$4:$C$1000)*1,("cwod"=[1]OUT_SyntheticFuels!$A$4:$A$1000)*1,("Var_Fin"=[1]OUT_SyntheticFuels!$B$4:$B$1000)*1,[1]OUT_SyntheticFuels!G$4:G$1000)</f>
        <v>0.457386383654938</v>
      </c>
      <c r="I604" s="1" cm="1">
        <f t="array" ref="I604">SUMPRODUCT(("CT_CWODETH"=[1]OUT_SyntheticFuels!$C$4:$C$1000)*1,("cwod"=[1]OUT_SyntheticFuels!$A$4:$A$1000)*1,("Var_Fin"=[1]OUT_SyntheticFuels!$B$4:$B$1000)*1,[1]OUT_SyntheticFuels!H$4:H$1000)</f>
        <v>0.39433748724941459</v>
      </c>
      <c r="J604" s="1" cm="1">
        <f t="array" ref="J604">SUMPRODUCT(("CT_CWODETH"=[1]OUT_SyntheticFuels!$C$4:$C$1000)*1,("cwod"=[1]OUT_SyntheticFuels!$A$4:$A$1000)*1,("Var_Fin"=[1]OUT_SyntheticFuels!$B$4:$B$1000)*1,[1]OUT_SyntheticFuels!I$4:I$1000)</f>
        <v>3.507474260034671E-5</v>
      </c>
      <c r="K604" s="1" cm="1">
        <f t="array" ref="K604">SUMPRODUCT(("CT_CWODETH"=[1]OUT_SyntheticFuels!$C$4:$C$1000)*1,("cwod"=[1]OUT_SyntheticFuels!$A$4:$A$1000)*1,("Var_Fin"=[1]OUT_SyntheticFuels!$B$4:$B$1000)*1,[1]OUT_SyntheticFuels!J$4:J$1000)</f>
        <v>1.2558280970331635E-5</v>
      </c>
    </row>
    <row r="605" spans="2:11" x14ac:dyDescent="0.35">
      <c r="B605" s="5" t="str">
        <f t="shared" si="349"/>
        <v>SPS3</v>
      </c>
      <c r="C605" s="5" t="s">
        <v>7</v>
      </c>
      <c r="D605" t="s">
        <v>322</v>
      </c>
      <c r="E605" s="5" t="s">
        <v>8</v>
      </c>
      <c r="F605" s="1" cm="1">
        <f t="array" ref="F605">SUMPRODUCT(("CT_CWODETHCCS"=[1]OUT_SyntheticFuels!$C$4:$C$1000)*1,("cwod"=[1]OUT_SyntheticFuels!$A$4:$A$1000)*1,("Var_Fin"=[1]OUT_SyntheticFuels!$B$4:$B$1000)*1,[1]OUT_SyntheticFuels!E$4:E$1000)</f>
        <v>0</v>
      </c>
      <c r="G605" s="1" cm="1">
        <f t="array" ref="G605">SUMPRODUCT(("CT_CWODETHCCS"=[1]OUT_SyntheticFuels!$C$4:$C$1000)*1,("cwod"=[1]OUT_SyntheticFuels!$A$4:$A$1000)*1,("Var_Fin"=[1]OUT_SyntheticFuels!$B$4:$B$1000)*1,[1]OUT_SyntheticFuels!F$4:F$1000)</f>
        <v>0</v>
      </c>
      <c r="H605" s="1" cm="1">
        <f t="array" ref="H605">SUMPRODUCT(("CT_CWODETHCCS"=[1]OUT_SyntheticFuels!$C$4:$C$1000)*1,("cwod"=[1]OUT_SyntheticFuels!$A$4:$A$1000)*1,("Var_Fin"=[1]OUT_SyntheticFuels!$B$4:$B$1000)*1,[1]OUT_SyntheticFuels!G$4:G$1000)</f>
        <v>0</v>
      </c>
      <c r="I605" s="1" cm="1">
        <f t="array" ref="I605">SUMPRODUCT(("CT_CWODETHCCS"=[1]OUT_SyntheticFuels!$C$4:$C$1000)*1,("cwod"=[1]OUT_SyntheticFuels!$A$4:$A$1000)*1,("Var_Fin"=[1]OUT_SyntheticFuels!$B$4:$B$1000)*1,[1]OUT_SyntheticFuels!H$4:H$1000)</f>
        <v>0</v>
      </c>
      <c r="J605" s="1" cm="1">
        <f t="array" ref="J605">SUMPRODUCT(("CT_CWODETHCCS"=[1]OUT_SyntheticFuels!$C$4:$C$1000)*1,("cwod"=[1]OUT_SyntheticFuels!$A$4:$A$1000)*1,("Var_Fin"=[1]OUT_SyntheticFuels!$B$4:$B$1000)*1,[1]OUT_SyntheticFuels!I$4:I$1000)</f>
        <v>2.5287464216052226E-5</v>
      </c>
      <c r="K605" s="1" cm="1">
        <f t="array" ref="K605">SUMPRODUCT(("CT_CWODETHCCS"=[1]OUT_SyntheticFuels!$C$4:$C$1000)*1,("cwod"=[1]OUT_SyntheticFuels!$A$4:$A$1000)*1,("Var_Fin"=[1]OUT_SyntheticFuels!$B$4:$B$1000)*1,[1]OUT_SyntheticFuels!J$4:J$1000)</f>
        <v>1.0539338195332891E-5</v>
      </c>
    </row>
    <row r="606" spans="2:11" x14ac:dyDescent="0.35">
      <c r="B606" s="5" t="str">
        <f t="shared" si="349"/>
        <v>SPS3</v>
      </c>
      <c r="C606" s="5" t="s">
        <v>7</v>
      </c>
      <c r="D606" t="s">
        <v>908</v>
      </c>
      <c r="E606" s="5" t="s">
        <v>8</v>
      </c>
      <c r="F606" s="1">
        <f>SUM(F607:F608)</f>
        <v>0.21885737598772345</v>
      </c>
      <c r="G606" s="1">
        <f t="shared" ref="G606:K606" si="370">SUM(G607:G608)</f>
        <v>0.35765346152440886</v>
      </c>
      <c r="H606" s="1">
        <f t="shared" si="370"/>
        <v>0.35890606181535789</v>
      </c>
      <c r="I606" s="1">
        <f t="shared" si="370"/>
        <v>0.30943228664547384</v>
      </c>
      <c r="J606" s="1">
        <f t="shared" si="370"/>
        <v>5.2931221396305367E-5</v>
      </c>
      <c r="K606" s="1">
        <f t="shared" si="370"/>
        <v>2.0444110527054051E-5</v>
      </c>
    </row>
    <row r="607" spans="2:11" x14ac:dyDescent="0.35">
      <c r="B607" s="5" t="str">
        <f t="shared" si="349"/>
        <v>SPS3</v>
      </c>
      <c r="C607" s="5" t="s">
        <v>7</v>
      </c>
      <c r="D607" t="s">
        <v>323</v>
      </c>
      <c r="E607" s="5" t="s">
        <v>8</v>
      </c>
      <c r="F607" s="1" cm="1">
        <f t="array" ref="F607">SUMPRODUCT(("CT_CWODETH"=[1]OUT_SyntheticFuels!$C$4:$C$1000)*1,("celc"=[1]OUT_SyntheticFuels!$A$4:$A$1000)*1,("Var_Fin"=[1]OUT_SyntheticFuels!$B$4:$B$1000)*1,[1]OUT_SyntheticFuels!E$4:E$1000)</f>
        <v>0.21885737598772345</v>
      </c>
      <c r="G607" s="1" cm="1">
        <f t="array" ref="G607">SUMPRODUCT(("CT_CWODETH"=[1]OUT_SyntheticFuels!$C$4:$C$1000)*1,("celc"=[1]OUT_SyntheticFuels!$A$4:$A$1000)*1,("Var_Fin"=[1]OUT_SyntheticFuels!$B$4:$B$1000)*1,[1]OUT_SyntheticFuels!F$4:F$1000)</f>
        <v>0.35765346152440886</v>
      </c>
      <c r="H607" s="1" cm="1">
        <f t="array" ref="H607">SUMPRODUCT(("CT_CWODETH"=[1]OUT_SyntheticFuels!$C$4:$C$1000)*1,("celc"=[1]OUT_SyntheticFuels!$A$4:$A$1000)*1,("Var_Fin"=[1]OUT_SyntheticFuels!$B$4:$B$1000)*1,[1]OUT_SyntheticFuels!G$4:G$1000)</f>
        <v>0.35890606181535789</v>
      </c>
      <c r="I607" s="1" cm="1">
        <f t="array" ref="I607">SUMPRODUCT(("CT_CWODETH"=[1]OUT_SyntheticFuels!$C$4:$C$1000)*1,("celc"=[1]OUT_SyntheticFuels!$A$4:$A$1000)*1,("Var_Fin"=[1]OUT_SyntheticFuels!$B$4:$B$1000)*1,[1]OUT_SyntheticFuels!H$4:H$1000)</f>
        <v>0.30943228664547384</v>
      </c>
      <c r="J607" s="1" cm="1">
        <f t="array" ref="J607">SUMPRODUCT(("CT_CWODETH"=[1]OUT_SyntheticFuels!$C$4:$C$1000)*1,("celc"=[1]OUT_SyntheticFuels!$A$4:$A$1000)*1,("Var_Fin"=[1]OUT_SyntheticFuels!$B$4:$B$1000)*1,[1]OUT_SyntheticFuels!I$4:I$1000)</f>
        <v>2.75227645285017E-5</v>
      </c>
      <c r="K607" s="1" cm="1">
        <f t="array" ref="K607">SUMPRODUCT(("CT_CWODETH"=[1]OUT_SyntheticFuels!$C$4:$C$1000)*1,("celc"=[1]OUT_SyntheticFuels!$A$4:$A$1000)*1,("Var_Fin"=[1]OUT_SyntheticFuels!$B$4:$B$1000)*1,[1]OUT_SyntheticFuels!J$4:J$1000)</f>
        <v>9.8543448762410965E-6</v>
      </c>
    </row>
    <row r="608" spans="2:11" x14ac:dyDescent="0.35">
      <c r="B608" s="5" t="str">
        <f t="shared" si="349"/>
        <v>SPS3</v>
      </c>
      <c r="C608" s="5" t="s">
        <v>7</v>
      </c>
      <c r="D608" t="s">
        <v>324</v>
      </c>
      <c r="E608" s="5" t="s">
        <v>8</v>
      </c>
      <c r="F608" s="1" cm="1">
        <f t="array" ref="F608">SUMPRODUCT(("CT_CWODETHCCS"=[1]OUT_SyntheticFuels!$C$4:$C$1000)*1,("celc"=[1]OUT_SyntheticFuels!$A$4:$A$1000)*1,("Var_Fin"=[1]OUT_SyntheticFuels!$B$4:$B$1000)*1,[1]OUT_SyntheticFuels!E$4:E$1000)</f>
        <v>0</v>
      </c>
      <c r="G608" s="1" cm="1">
        <f t="array" ref="G608">SUMPRODUCT(("CT_CWODETHCCS"=[1]OUT_SyntheticFuels!$C$4:$C$1000)*1,("celc"=[1]OUT_SyntheticFuels!$A$4:$A$1000)*1,("Var_Fin"=[1]OUT_SyntheticFuels!$B$4:$B$1000)*1,[1]OUT_SyntheticFuels!F$4:F$1000)</f>
        <v>0</v>
      </c>
      <c r="H608" s="1" cm="1">
        <f t="array" ref="H608">SUMPRODUCT(("CT_CWODETHCCS"=[1]OUT_SyntheticFuels!$C$4:$C$1000)*1,("celc"=[1]OUT_SyntheticFuels!$A$4:$A$1000)*1,("Var_Fin"=[1]OUT_SyntheticFuels!$B$4:$B$1000)*1,[1]OUT_SyntheticFuels!G$4:G$1000)</f>
        <v>0</v>
      </c>
      <c r="I608" s="1" cm="1">
        <f t="array" ref="I608">SUMPRODUCT(("CT_CWODETHCCS"=[1]OUT_SyntheticFuels!$C$4:$C$1000)*1,("celc"=[1]OUT_SyntheticFuels!$A$4:$A$1000)*1,("Var_Fin"=[1]OUT_SyntheticFuels!$B$4:$B$1000)*1,[1]OUT_SyntheticFuels!H$4:H$1000)</f>
        <v>0</v>
      </c>
      <c r="J608" s="1" cm="1">
        <f t="array" ref="J608">SUMPRODUCT(("CT_CWODETHCCS"=[1]OUT_SyntheticFuels!$C$4:$C$1000)*1,("celc"=[1]OUT_SyntheticFuels!$A$4:$A$1000)*1,("Var_Fin"=[1]OUT_SyntheticFuels!$B$4:$B$1000)*1,[1]OUT_SyntheticFuels!I$4:I$1000)</f>
        <v>2.5408456867803671E-5</v>
      </c>
      <c r="K608" s="1" cm="1">
        <f t="array" ref="K608">SUMPRODUCT(("CT_CWODETHCCS"=[1]OUT_SyntheticFuels!$C$4:$C$1000)*1,("celc"=[1]OUT_SyntheticFuels!$A$4:$A$1000)*1,("Var_Fin"=[1]OUT_SyntheticFuels!$B$4:$B$1000)*1,[1]OUT_SyntheticFuels!J$4:J$1000)</f>
        <v>1.0589765650812955E-5</v>
      </c>
    </row>
    <row r="609" spans="2:11" x14ac:dyDescent="0.35">
      <c r="B609" s="9" t="str">
        <f t="shared" si="349"/>
        <v>SPS3</v>
      </c>
      <c r="C609" s="9" t="s">
        <v>7</v>
      </c>
      <c r="D609" s="2" t="s">
        <v>311</v>
      </c>
      <c r="E609" s="9" t="s">
        <v>240</v>
      </c>
      <c r="F609" t="s">
        <v>292</v>
      </c>
      <c r="G609" t="s">
        <v>292</v>
      </c>
      <c r="H609" t="s">
        <v>292</v>
      </c>
      <c r="I609" t="s">
        <v>292</v>
      </c>
      <c r="J609" t="s">
        <v>292</v>
      </c>
      <c r="K609" t="s">
        <v>292</v>
      </c>
    </row>
    <row r="610" spans="2:11" x14ac:dyDescent="0.35">
      <c r="B610" s="5" t="str">
        <f t="shared" si="349"/>
        <v>SPS3</v>
      </c>
      <c r="C610" s="5" t="s">
        <v>7</v>
      </c>
      <c r="D610" t="s">
        <v>312</v>
      </c>
      <c r="E610" s="5" t="s">
        <v>240</v>
      </c>
      <c r="F610" s="4">
        <f>IFERROR(F600/SUM(F604,F607),"-")</f>
        <v>0.26809651474530838</v>
      </c>
      <c r="G610">
        <f t="shared" ref="G610:K611" si="371">IFERROR(G600/SUM(G604,G607),"-")</f>
        <v>0.26809651474530821</v>
      </c>
      <c r="H610">
        <f t="shared" si="371"/>
        <v>0.26809651474530832</v>
      </c>
      <c r="I610">
        <f t="shared" si="371"/>
        <v>0.26809651474530838</v>
      </c>
      <c r="J610">
        <f t="shared" si="371"/>
        <v>0.26809651474530816</v>
      </c>
      <c r="K610">
        <f t="shared" si="371"/>
        <v>0.26809651474530832</v>
      </c>
    </row>
    <row r="611" spans="2:11" x14ac:dyDescent="0.35">
      <c r="B611" s="5" t="str">
        <f t="shared" si="349"/>
        <v>SPS3</v>
      </c>
      <c r="C611" s="5" t="s">
        <v>7</v>
      </c>
      <c r="D611" t="s">
        <v>313</v>
      </c>
      <c r="E611" s="5" t="s">
        <v>240</v>
      </c>
      <c r="F611" t="str">
        <f>IFERROR(F601/SUM(F605,F608),"-")</f>
        <v>-</v>
      </c>
      <c r="G611" t="str">
        <f t="shared" si="371"/>
        <v>-</v>
      </c>
      <c r="H611" t="str">
        <f t="shared" si="371"/>
        <v>-</v>
      </c>
      <c r="I611" t="str">
        <f t="shared" si="371"/>
        <v>-</v>
      </c>
      <c r="J611">
        <f t="shared" si="371"/>
        <v>0.23866348448687352</v>
      </c>
      <c r="K611">
        <f t="shared" si="371"/>
        <v>0.23866348448687363</v>
      </c>
    </row>
    <row r="612" spans="2:11" x14ac:dyDescent="0.35">
      <c r="B612" s="5" t="str">
        <f t="shared" si="349"/>
        <v>SPS3</v>
      </c>
      <c r="C612" s="5" t="s">
        <v>7</v>
      </c>
      <c r="D612" s="2" t="s">
        <v>381</v>
      </c>
      <c r="E612" s="9" t="s">
        <v>8</v>
      </c>
      <c r="F612" s="3">
        <f>F613+F614+F619</f>
        <v>6.9574394602243057</v>
      </c>
      <c r="G612" s="3">
        <f t="shared" ref="G612" si="372">G613+G614+G619</f>
        <v>10.623097609870745</v>
      </c>
      <c r="H612" s="3">
        <f t="shared" ref="H612" si="373">H613+H614+H619</f>
        <v>10.414054837451902</v>
      </c>
      <c r="I612" s="3">
        <f t="shared" ref="I612" si="374">I613+I614+I619</f>
        <v>10.608429381249049</v>
      </c>
      <c r="J612" s="3">
        <f t="shared" ref="J612" si="375">J613+J614+J619</f>
        <v>22.606673906730261</v>
      </c>
      <c r="K612" s="3">
        <f t="shared" ref="K612" si="376">K613+K614+K619</f>
        <v>27.728809134255123</v>
      </c>
    </row>
    <row r="613" spans="2:11" x14ac:dyDescent="0.35">
      <c r="B613" s="5" t="str">
        <f t="shared" si="349"/>
        <v>SPS3</v>
      </c>
      <c r="C613" s="5" t="s">
        <v>7</v>
      </c>
      <c r="D613" t="s">
        <v>314</v>
      </c>
      <c r="E613" s="5" t="s">
        <v>8</v>
      </c>
      <c r="F613" s="1">
        <f>[1]Other_transformation!B$19</f>
        <v>1.3280165299092226</v>
      </c>
      <c r="G613" s="1">
        <f>[1]Other_transformation!C$19</f>
        <v>4.3847773299538249</v>
      </c>
      <c r="H613" s="1">
        <f>[1]Other_transformation!D$19</f>
        <v>4.3847772214133682</v>
      </c>
      <c r="I613" s="1">
        <f>[1]Other_transformation!E$19</f>
        <v>4.3847714098164392</v>
      </c>
      <c r="J613" s="1">
        <f>[1]Other_transformation!F$19</f>
        <v>6.0700409148981853</v>
      </c>
      <c r="K613" s="1">
        <f>[1]Other_transformation!G$19</f>
        <v>9.4405674663003385</v>
      </c>
    </row>
    <row r="614" spans="2:11" x14ac:dyDescent="0.35">
      <c r="B614" s="5" t="str">
        <f t="shared" si="349"/>
        <v>SPS3</v>
      </c>
      <c r="C614" s="5" t="s">
        <v>7</v>
      </c>
      <c r="D614" t="s">
        <v>909</v>
      </c>
      <c r="E614" s="5" t="s">
        <v>8</v>
      </c>
      <c r="F614" s="1">
        <f>[1]Other_transformation!B$20</f>
        <v>5.6294229303150836</v>
      </c>
      <c r="G614" s="1">
        <f>[1]Other_transformation!C$20</f>
        <v>6.2382414147700818</v>
      </c>
      <c r="H614" s="1">
        <f>[1]Other_transformation!D$20</f>
        <v>6.0290666557331196</v>
      </c>
      <c r="I614" s="1">
        <f>[1]Other_transformation!E$20</f>
        <v>6.2187680839994064</v>
      </c>
      <c r="J614" s="1">
        <f>[1]Other_transformation!F$20</f>
        <v>10.20414258689587</v>
      </c>
      <c r="K614" s="1">
        <f>[1]Other_transformation!G$20</f>
        <v>11.955787664584893</v>
      </c>
    </row>
    <row r="615" spans="2:11" x14ac:dyDescent="0.35">
      <c r="B615" s="5" t="str">
        <f t="shared" si="349"/>
        <v>SPS3</v>
      </c>
      <c r="C615" s="5" t="s">
        <v>7</v>
      </c>
      <c r="D615" t="s">
        <v>315</v>
      </c>
      <c r="E615" s="5" t="s">
        <v>8</v>
      </c>
      <c r="F615" s="1" cm="1">
        <f t="array" ref="F615">SUMPRODUCT(("SUP_WSTBIO"=[1]OUT_SyntheticFuels!$C$4:$C$1000)*1,("BIO"=[1]OUT_SyntheticFuels!$A$4:$A$1000)*1,("Var_Fout"=[1]OUT_SyntheticFuels!$B$4:$B$1000)*1,[1]OUT_SyntheticFuels!E$4:E$1000)</f>
        <v>5.6294229303150836</v>
      </c>
      <c r="G615" s="1" cm="1">
        <f t="array" ref="G615">SUMPRODUCT(("SUP_WSTBIO"=[1]OUT_SyntheticFuels!$C$4:$C$1000)*1,("BIO"=[1]OUT_SyntheticFuels!$A$4:$A$1000)*1,("Var_Fout"=[1]OUT_SyntheticFuels!$B$4:$B$1000)*1,[1]OUT_SyntheticFuels!F$4:F$1000)</f>
        <v>6.2382414147700818</v>
      </c>
      <c r="H615" s="1" cm="1">
        <f t="array" ref="H615">SUMPRODUCT(("SUP_WSTBIO"=[1]OUT_SyntheticFuels!$C$4:$C$1000)*1,("BIO"=[1]OUT_SyntheticFuels!$A$4:$A$1000)*1,("Var_Fout"=[1]OUT_SyntheticFuels!$B$4:$B$1000)*1,[1]OUT_SyntheticFuels!G$4:G$1000)</f>
        <v>6.0290666557331196</v>
      </c>
      <c r="I615" s="1" cm="1">
        <f t="array" ref="I615">SUMPRODUCT(("SUP_WSTBIO"=[1]OUT_SyntheticFuels!$C$4:$C$1000)*1,("BIO"=[1]OUT_SyntheticFuels!$A$4:$A$1000)*1,("Var_Fout"=[1]OUT_SyntheticFuels!$B$4:$B$1000)*1,[1]OUT_SyntheticFuels!H$4:H$1000)</f>
        <v>6.2187680839994064</v>
      </c>
      <c r="J615" s="1" cm="1">
        <f t="array" ref="J615">SUMPRODUCT(("SUP_WSTBIO"=[1]OUT_SyntheticFuels!$C$4:$C$1000)*1,("BIO"=[1]OUT_SyntheticFuels!$A$4:$A$1000)*1,("Var_Fout"=[1]OUT_SyntheticFuels!$B$4:$B$1000)*1,[1]OUT_SyntheticFuels!I$4:I$1000)</f>
        <v>8.411157037063545E-2</v>
      </c>
      <c r="K615" s="1" cm="1">
        <f t="array" ref="K615">SUMPRODUCT(("SUP_WSTBIO"=[1]OUT_SyntheticFuels!$C$4:$C$1000)*1,("BIO"=[1]OUT_SyntheticFuels!$A$4:$A$1000)*1,("Var_Fout"=[1]OUT_SyntheticFuels!$B$4:$B$1000)*1,[1]OUT_SyntheticFuels!J$4:J$1000)</f>
        <v>1.6822816325738185E-4</v>
      </c>
    </row>
    <row r="616" spans="2:11" x14ac:dyDescent="0.35">
      <c r="B616" s="5" t="str">
        <f t="shared" si="349"/>
        <v>SPS3</v>
      </c>
      <c r="C616" s="5" t="s">
        <v>7</v>
      </c>
      <c r="D616" t="s">
        <v>316</v>
      </c>
      <c r="E616" s="5" t="s">
        <v>8</v>
      </c>
      <c r="F616" s="1" cm="1">
        <f t="array" ref="F616">SUMPRODUCT(("SUP_WSTBIOCCS"=[1]OUT_SyntheticFuels!$C$4:$C$1000)*1,("BIO"=[1]OUT_SyntheticFuels!$A$4:$A$1000)*1,("Var_Fout"=[1]OUT_SyntheticFuels!$B$4:$B$1000)*1,[1]OUT_SyntheticFuels!E$4:E$1000)</f>
        <v>0</v>
      </c>
      <c r="G616" s="1" cm="1">
        <f t="array" ref="G616">SUMPRODUCT(("SUP_WSTBIOCCS"=[1]OUT_SyntheticFuels!$C$4:$C$1000)*1,("BIO"=[1]OUT_SyntheticFuels!$A$4:$A$1000)*1,("Var_Fout"=[1]OUT_SyntheticFuels!$B$4:$B$1000)*1,[1]OUT_SyntheticFuels!F$4:F$1000)</f>
        <v>0</v>
      </c>
      <c r="H616" s="1" cm="1">
        <f t="array" ref="H616">SUMPRODUCT(("SUP_WSTBIOCCS"=[1]OUT_SyntheticFuels!$C$4:$C$1000)*1,("BIO"=[1]OUT_SyntheticFuels!$A$4:$A$1000)*1,("Var_Fout"=[1]OUT_SyntheticFuels!$B$4:$B$1000)*1,[1]OUT_SyntheticFuels!G$4:G$1000)</f>
        <v>0</v>
      </c>
      <c r="I616" s="1" cm="1">
        <f t="array" ref="I616">SUMPRODUCT(("SUP_WSTBIOCCS"=[1]OUT_SyntheticFuels!$C$4:$C$1000)*1,("BIO"=[1]OUT_SyntheticFuels!$A$4:$A$1000)*1,("Var_Fout"=[1]OUT_SyntheticFuels!$B$4:$B$1000)*1,[1]OUT_SyntheticFuels!H$4:H$1000)</f>
        <v>0</v>
      </c>
      <c r="J616" s="1" cm="1">
        <f t="array" ref="J616">SUMPRODUCT(("SUP_WSTBIOCCS"=[1]OUT_SyntheticFuels!$C$4:$C$1000)*1,("BIO"=[1]OUT_SyntheticFuels!$A$4:$A$1000)*1,("Var_Fout"=[1]OUT_SyntheticFuels!$B$4:$B$1000)*1,[1]OUT_SyntheticFuels!I$4:I$1000)</f>
        <v>0</v>
      </c>
      <c r="K616" s="1" cm="1">
        <f t="array" ref="K616">SUMPRODUCT(("SUP_WSTBIOCCS"=[1]OUT_SyntheticFuels!$C$4:$C$1000)*1,("BIO"=[1]OUT_SyntheticFuels!$A$4:$A$1000)*1,("Var_Fout"=[1]OUT_SyntheticFuels!$B$4:$B$1000)*1,[1]OUT_SyntheticFuels!J$4:J$1000)</f>
        <v>0</v>
      </c>
    </row>
    <row r="617" spans="2:11" x14ac:dyDescent="0.35">
      <c r="B617" s="5" t="str">
        <f t="shared" si="349"/>
        <v>SPS3</v>
      </c>
      <c r="C617" s="5" t="s">
        <v>7</v>
      </c>
      <c r="D617" t="s">
        <v>318</v>
      </c>
      <c r="E617" s="5" t="s">
        <v>8</v>
      </c>
      <c r="F617" s="1" cm="1">
        <f t="array" ref="F617">SUMPRODUCT(("SUP_WSTHTGBIO"=[1]OUT_SyntheticFuels!$C$4:$C$1000)*1,("BIO"=[1]OUT_SyntheticFuels!$A$4:$A$1000)*1,("Var_Fout"=[1]OUT_SyntheticFuels!$B$4:$B$1000)*1,[1]OUT_SyntheticFuels!E$4:E$1000)</f>
        <v>0</v>
      </c>
      <c r="G617" s="1" cm="1">
        <f t="array" ref="G617">SUMPRODUCT(("SUP_WSTHTGBIO"=[1]OUT_SyntheticFuels!$C$4:$C$1000)*1,("BIO"=[1]OUT_SyntheticFuels!$A$4:$A$1000)*1,("Var_Fout"=[1]OUT_SyntheticFuels!$B$4:$B$1000)*1,[1]OUT_SyntheticFuels!F$4:F$1000)</f>
        <v>0</v>
      </c>
      <c r="H617" s="1" cm="1">
        <f t="array" ref="H617">SUMPRODUCT(("SUP_WSTHTGBIO"=[1]OUT_SyntheticFuels!$C$4:$C$1000)*1,("BIO"=[1]OUT_SyntheticFuels!$A$4:$A$1000)*1,("Var_Fout"=[1]OUT_SyntheticFuels!$B$4:$B$1000)*1,[1]OUT_SyntheticFuels!G$4:G$1000)</f>
        <v>0</v>
      </c>
      <c r="I617" s="1" cm="1">
        <f t="array" ref="I617">SUMPRODUCT(("SUP_WSTHTGBIO"=[1]OUT_SyntheticFuels!$C$4:$C$1000)*1,("BIO"=[1]OUT_SyntheticFuels!$A$4:$A$1000)*1,("Var_Fout"=[1]OUT_SyntheticFuels!$B$4:$B$1000)*1,[1]OUT_SyntheticFuels!H$4:H$1000)</f>
        <v>0</v>
      </c>
      <c r="J617" s="1" cm="1">
        <f t="array" ref="J617">SUMPRODUCT(("SUP_WSTHTGBIO"=[1]OUT_SyntheticFuels!$C$4:$C$1000)*1,("BIO"=[1]OUT_SyntheticFuels!$A$4:$A$1000)*1,("Var_Fout"=[1]OUT_SyntheticFuels!$B$4:$B$1000)*1,[1]OUT_SyntheticFuels!I$4:I$1000)</f>
        <v>10.119936282819992</v>
      </c>
      <c r="K617" s="1" cm="1">
        <f t="array" ref="K617">SUMPRODUCT(("SUP_WSTHTGBIO"=[1]OUT_SyntheticFuels!$C$4:$C$1000)*1,("BIO"=[1]OUT_SyntheticFuels!$A$4:$A$1000)*1,("Var_Fout"=[1]OUT_SyntheticFuels!$B$4:$B$1000)*1,[1]OUT_SyntheticFuels!J$4:J$1000)</f>
        <v>11.849042642796721</v>
      </c>
    </row>
    <row r="618" spans="2:11" x14ac:dyDescent="0.35">
      <c r="B618" s="5" t="str">
        <f t="shared" si="349"/>
        <v>SPS3</v>
      </c>
      <c r="C618" s="5" t="s">
        <v>7</v>
      </c>
      <c r="D618" t="s">
        <v>317</v>
      </c>
      <c r="E618" s="5" t="s">
        <v>8</v>
      </c>
      <c r="F618" s="1" cm="1">
        <f t="array" ref="F618">SUMPRODUCT(("SUP_WSTHTGBIOCCS"=[1]OUT_SyntheticFuels!$C$4:$C$1000)*1,("BIO"=[1]OUT_SyntheticFuels!$A$4:$A$1000)*1,("Var_Fout"=[1]OUT_SyntheticFuels!$B$4:$B$1000)*1,[1]OUT_SyntheticFuels!E$4:E$1000)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SUMPRODUCT(("SUP_WSTHTGBIOCCS"=[1]OUT_SyntheticFuels!$C$4:$C$1000)*1,("BIO"=[1]OUT_SyntheticFuels!$A$4:$A$1000)*1,("Var_Fout"=[1]OUT_SyntheticFuels!$B$4:$B$1000)*1,[1]OUT_SyntheticFuels!F$4:F$1000)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SUMPRODUCT(("SUP_WSTHTGBIOCCS"=[1]OUT_SyntheticFuels!$C$4:$C$1000)*1,("BIO"=[1]OUT_SyntheticFuels!$A$4:$A$1000)*1,("Var_Fout"=[1]OUT_SyntheticFuels!$B$4:$B$1000)*1,[1]OUT_SyntheticFuels!G$4:G$1000)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SUMPRODUCT(("SUP_WSTHTGBIOCCS"=[1]OUT_SyntheticFuels!$C$4:$C$1000)*1,("BIO"=[1]OUT_SyntheticFuels!$A$4:$A$1000)*1,("Var_Fout"=[1]OUT_SyntheticFuels!$B$4:$B$1000)*1,[1]OUT_SyntheticFuels!H$4:H$1000)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SUMPRODUCT(("SUP_WSTHTGBIOCCS"=[1]OUT_SyntheticFuels!$C$4:$C$1000)*1,("BIO"=[1]OUT_SyntheticFuels!$A$4:$A$1000)*1,("Var_Fout"=[1]OUT_SyntheticFuels!$B$4:$B$1000)*1,[1]OUT_SyntheticFuels!I$4:I$1000)</f>
        <v>9.4733705240407931E-5</v>
      </c>
      <c r="K618" s="1" cm="1">
        <f t="array" ref="K618">SUMPRODUCT(("SUP_WSTHTGBIOCCS"=[1]OUT_SyntheticFuels!$C$4:$C$1000)*1,("BIO"=[1]OUT_SyntheticFuels!$A$4:$A$1000)*1,("Var_Fout"=[1]OUT_SyntheticFuels!$B$4:$B$1000)*1,[1]OUT_SyntheticFuels!J$4:J$1000)</f>
        <v>0.10657679362491455</v>
      </c>
    </row>
    <row r="619" spans="2:11" x14ac:dyDescent="0.35">
      <c r="B619" s="5" t="str">
        <f t="shared" si="349"/>
        <v>SPS3</v>
      </c>
      <c r="C619" s="5" t="s">
        <v>7</v>
      </c>
      <c r="D619" t="s">
        <v>910</v>
      </c>
      <c r="E619" s="5" t="s">
        <v>8</v>
      </c>
      <c r="F619" s="1">
        <f>[1]Other_transformation!B$21</f>
        <v>0</v>
      </c>
      <c r="G619" s="1">
        <f>[1]Other_transformation!C$21</f>
        <v>7.8865146837617245E-5</v>
      </c>
      <c r="H619" s="1">
        <f>[1]Other_transformation!D$21</f>
        <v>2.1096030541520696E-4</v>
      </c>
      <c r="I619" s="1">
        <f>[1]Other_transformation!E$21</f>
        <v>4.8898874332044696E-3</v>
      </c>
      <c r="J619" s="1">
        <f>[1]Other_transformation!F$21</f>
        <v>6.3324904049362063</v>
      </c>
      <c r="K619" s="1">
        <f>[1]Other_transformation!G$21</f>
        <v>6.3324540033698904</v>
      </c>
    </row>
    <row r="620" spans="2:11" x14ac:dyDescent="0.35">
      <c r="B620" s="5" t="str">
        <f t="shared" si="349"/>
        <v>SPS3</v>
      </c>
      <c r="C620" s="5" t="s">
        <v>7</v>
      </c>
      <c r="D620" t="s">
        <v>319</v>
      </c>
      <c r="E620" s="5" t="s">
        <v>8</v>
      </c>
      <c r="F620" s="1" cm="1">
        <f t="array" ref="F620">SUMPRODUCT(("SUP_WODBIO"=[1]OUT_SyntheticFuels!$C$4:$C$1000)*1,("BIO"=[1]OUT_SyntheticFuels!$A$4:$A$1000)*1,("Var_Fout"=[1]OUT_SyntheticFuels!$B$4:$B$1000)*1,[1]OUT_SyntheticFuels!E$4:E$1000)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SUMPRODUCT(("SUP_WODBIO"=[1]OUT_SyntheticFuels!$C$4:$C$1000)*1,("BIO"=[1]OUT_SyntheticFuels!$A$4:$A$1000)*1,("Var_Fout"=[1]OUT_SyntheticFuels!$B$4:$B$1000)*1,[1]OUT_SyntheticFuels!F$4:F$1000)</f>
        <v>7.8865146837617245E-5</v>
      </c>
      <c r="H620" s="1" cm="1">
        <f t="array" ref="H620">SUMPRODUCT(("SUP_WODBIO"=[1]OUT_SyntheticFuels!$C$4:$C$1000)*1,("BIO"=[1]OUT_SyntheticFuels!$A$4:$A$1000)*1,("Var_Fout"=[1]OUT_SyntheticFuels!$B$4:$B$1000)*1,[1]OUT_SyntheticFuels!G$4:G$1000)</f>
        <v>2.1096030541520696E-4</v>
      </c>
      <c r="I620" s="1" cm="1">
        <f t="array" ref="I620">SUMPRODUCT(("SUP_WODBIO"=[1]OUT_SyntheticFuels!$C$4:$C$1000)*1,("BIO"=[1]OUT_SyntheticFuels!$A$4:$A$1000)*1,("Var_Fout"=[1]OUT_SyntheticFuels!$B$4:$B$1000)*1,[1]OUT_SyntheticFuels!H$4:H$1000)</f>
        <v>4.8898874332044696E-3</v>
      </c>
      <c r="J620" s="1" cm="1">
        <f t="array" ref="J620">SUMPRODUCT(("SUP_WODBIO"=[1]OUT_SyntheticFuels!$C$4:$C$1000)*1,("BIO"=[1]OUT_SyntheticFuels!$A$4:$A$1000)*1,("Var_Fout"=[1]OUT_SyntheticFuels!$B$4:$B$1000)*1,[1]OUT_SyntheticFuels!I$4:I$1000)</f>
        <v>6.332220221708992</v>
      </c>
      <c r="K620" s="1" cm="1">
        <f t="array" ref="K620">SUMPRODUCT(("SUP_WODBIO"=[1]OUT_SyntheticFuels!$C$4:$C$1000)*1,("BIO"=[1]OUT_SyntheticFuels!$A$4:$A$1000)*1,("Var_Fout"=[1]OUT_SyntheticFuels!$B$4:$B$1000)*1,[1]OUT_SyntheticFuels!J$4:J$1000)</f>
        <v>5.9005696614314553</v>
      </c>
    </row>
    <row r="621" spans="2:11" x14ac:dyDescent="0.35">
      <c r="B621" s="5" t="str">
        <f t="shared" si="349"/>
        <v>SPS3</v>
      </c>
      <c r="C621" s="5" t="s">
        <v>7</v>
      </c>
      <c r="D621" t="s">
        <v>320</v>
      </c>
      <c r="E621" s="5" t="s">
        <v>8</v>
      </c>
      <c r="F621" s="1" cm="1">
        <f t="array" ref="F621">SUMPRODUCT(("SUP_WODBIOCCS"=[1]OUT_SyntheticFuels!$C$4:$C$1000)*1,("BIO"=[1]OUT_SyntheticFuels!$A$4:$A$1000)*1,("Var_Fout"=[1]OUT_SyntheticFuels!$B$4:$B$1000)*1,[1]OUT_SyntheticFuels!E$4:E$1000)</f>
        <v>0</v>
      </c>
      <c r="G621" s="1" cm="1">
        <f t="array" ref="G621">SUMPRODUCT(("SUP_WODBIOCCS"=[1]OUT_SyntheticFuels!$C$4:$C$1000)*1,("BIO"=[1]OUT_SyntheticFuels!$A$4:$A$1000)*1,("Var_Fout"=[1]OUT_SyntheticFuels!$B$4:$B$1000)*1,[1]OUT_SyntheticFuels!F$4:F$1000)</f>
        <v>0</v>
      </c>
      <c r="H621" s="1" cm="1">
        <f t="array" ref="H621">SUMPRODUCT(("SUP_WODBIOCCS"=[1]OUT_SyntheticFuels!$C$4:$C$1000)*1,("BIO"=[1]OUT_SyntheticFuels!$A$4:$A$1000)*1,("Var_Fout"=[1]OUT_SyntheticFuels!$B$4:$B$1000)*1,[1]OUT_SyntheticFuels!G$4:G$1000)</f>
        <v>0</v>
      </c>
      <c r="I621" s="1" cm="1">
        <f t="array" ref="I621">SUMPRODUCT(("SUP_WODBIOCCS"=[1]OUT_SyntheticFuels!$C$4:$C$1000)*1,("BIO"=[1]OUT_SyntheticFuels!$A$4:$A$1000)*1,("Var_Fout"=[1]OUT_SyntheticFuels!$B$4:$B$1000)*1,[1]OUT_SyntheticFuels!H$4:H$1000)</f>
        <v>0</v>
      </c>
      <c r="J621" s="1" cm="1">
        <f t="array" ref="J621">SUMPRODUCT(("SUP_WODBIOCCS"=[1]OUT_SyntheticFuels!$C$4:$C$1000)*1,("BIO"=[1]OUT_SyntheticFuels!$A$4:$A$1000)*1,("Var_Fout"=[1]OUT_SyntheticFuels!$B$4:$B$1000)*1,[1]OUT_SyntheticFuels!I$4:I$1000)</f>
        <v>2.7018322721468875E-4</v>
      </c>
      <c r="K621" s="1" cm="1">
        <f t="array" ref="K621">SUMPRODUCT(("SUP_WODBIOCCS"=[1]OUT_SyntheticFuels!$C$4:$C$1000)*1,("BIO"=[1]OUT_SyntheticFuels!$A$4:$A$1000)*1,("Var_Fout"=[1]OUT_SyntheticFuels!$B$4:$B$1000)*1,[1]OUT_SyntheticFuels!J$4:J$1000)</f>
        <v>0.43188434193843517</v>
      </c>
    </row>
    <row r="622" spans="2:11" x14ac:dyDescent="0.35">
      <c r="B622" s="5" t="str">
        <f t="shared" si="349"/>
        <v>SPS3</v>
      </c>
      <c r="C622" s="5" t="s">
        <v>7</v>
      </c>
      <c r="D622" s="2" t="s">
        <v>383</v>
      </c>
      <c r="E622" s="9" t="s">
        <v>8</v>
      </c>
      <c r="F622" s="3">
        <f>F623+F624+F629</f>
        <v>0.11258845860630171</v>
      </c>
      <c r="G622" s="3">
        <f t="shared" ref="G622" si="377">G623+G624+G629</f>
        <v>0.12476798290127512</v>
      </c>
      <c r="H622" s="3">
        <f t="shared" ref="H622" si="378">H623+H624+H629</f>
        <v>0.12058977152687896</v>
      </c>
      <c r="I622" s="3">
        <f t="shared" ref="I622" si="379">I623+I624+I629</f>
        <v>0.12457095717731645</v>
      </c>
      <c r="J622" s="3">
        <f t="shared" ref="J622" si="380">J623+J624+J629</f>
        <v>0.25498381217767357</v>
      </c>
      <c r="K622" s="3">
        <f t="shared" ref="K622" si="381">K623+K624+K629</f>
        <v>0.25330265976970168</v>
      </c>
    </row>
    <row r="623" spans="2:11" x14ac:dyDescent="0.35">
      <c r="B623" s="5" t="str">
        <f t="shared" si="349"/>
        <v>SPS3</v>
      </c>
      <c r="C623" s="5" t="s">
        <v>7</v>
      </c>
      <c r="D623" t="s">
        <v>329</v>
      </c>
      <c r="E623" s="5" t="s">
        <v>8</v>
      </c>
      <c r="F623" s="1" cm="1">
        <f t="array" ref="F623">SUMPRODUCT(("SUP_MNRBIO"=[1]OUT_SyntheticFuels!$C$4:$C$1000)*1,("Var_Fout"=[1]OUT_SyntheticFuels!$B$4:$B$1000)*1,("ELC35"=[1]OUT_SyntheticFuels!$A$4:$A$1000)*1,[1]OUT_SyntheticFuels!E$4:E$1000)</f>
        <v>0</v>
      </c>
      <c r="G623" s="1" cm="1">
        <f t="array" ref="G623">SUMPRODUCT(("SUP_MNRBIO"=[1]OUT_SyntheticFuels!$C$4:$C$1000)*1,("Var_Fout"=[1]OUT_SyntheticFuels!$B$4:$B$1000)*1,("ELC35"=[1]OUT_SyntheticFuels!$A$4:$A$1000)*1,[1]OUT_SyntheticFuels!F$4:F$1000)</f>
        <v>0</v>
      </c>
      <c r="H623" s="1" cm="1">
        <f t="array" ref="H623">SUMPRODUCT(("SUP_MNRBIO"=[1]OUT_SyntheticFuels!$C$4:$C$1000)*1,("Var_Fout"=[1]OUT_SyntheticFuels!$B$4:$B$1000)*1,("ELC35"=[1]OUT_SyntheticFuels!$A$4:$A$1000)*1,[1]OUT_SyntheticFuels!G$4:G$1000)</f>
        <v>0</v>
      </c>
      <c r="I623" s="1" cm="1">
        <f t="array" ref="I623">SUMPRODUCT(("SUP_MNRBIO"=[1]OUT_SyntheticFuels!$C$4:$C$1000)*1,("Var_Fout"=[1]OUT_SyntheticFuels!$B$4:$B$1000)*1,("ELC35"=[1]OUT_SyntheticFuels!$A$4:$A$1000)*1,[1]OUT_SyntheticFuels!H$4:H$1000)</f>
        <v>0</v>
      </c>
      <c r="J623" s="1" cm="1">
        <f t="array" ref="J623">SUMPRODUCT(("SUP_MNRBIO"=[1]OUT_SyntheticFuels!$C$4:$C$1000)*1,("Var_Fout"=[1]OUT_SyntheticFuels!$B$4:$B$1000)*1,("ELC35"=[1]OUT_SyntheticFuels!$A$4:$A$1000)*1,[1]OUT_SyntheticFuels!I$4:I$1000)</f>
        <v>0</v>
      </c>
      <c r="K623" s="1" cm="1">
        <f t="array" ref="K623">SUMPRODUCT(("SUP_MNRBIO"=[1]OUT_SyntheticFuels!$C$4:$C$1000)*1,("Var_Fout"=[1]OUT_SyntheticFuels!$B$4:$B$1000)*1,("ELC35"=[1]OUT_SyntheticFuels!$A$4:$A$1000)*1,[1]OUT_SyntheticFuels!J$4:J$1000)</f>
        <v>0</v>
      </c>
    </row>
    <row r="624" spans="2:11" x14ac:dyDescent="0.35">
      <c r="B624" s="5" t="str">
        <f t="shared" si="349"/>
        <v>SPS3</v>
      </c>
      <c r="C624" s="5" t="s">
        <v>7</v>
      </c>
      <c r="D624" t="s">
        <v>330</v>
      </c>
      <c r="E624" s="5" t="s">
        <v>8</v>
      </c>
      <c r="F624" s="1">
        <f>SUM(F625:F628)</f>
        <v>0.11258845860630171</v>
      </c>
      <c r="G624" s="1">
        <f t="shared" ref="G624:K624" si="382">SUM(G625:G628)</f>
        <v>0.12476482829540161</v>
      </c>
      <c r="H624" s="1">
        <f t="shared" si="382"/>
        <v>0.12058133311466235</v>
      </c>
      <c r="I624" s="1">
        <f t="shared" si="382"/>
        <v>0.12437536167998826</v>
      </c>
      <c r="J624" s="1">
        <f t="shared" si="382"/>
        <v>1.6822314074127101E-3</v>
      </c>
      <c r="K624" s="1">
        <f t="shared" si="382"/>
        <v>2.930387574300299E-6</v>
      </c>
    </row>
    <row r="625" spans="2:11" x14ac:dyDescent="0.35">
      <c r="B625" s="5" t="str">
        <f t="shared" si="349"/>
        <v>SPS3</v>
      </c>
      <c r="C625" s="5" t="s">
        <v>7</v>
      </c>
      <c r="D625" t="s">
        <v>331</v>
      </c>
      <c r="E625" s="5" t="s">
        <v>8</v>
      </c>
      <c r="F625" s="1" cm="1">
        <f t="array" ref="F625">SUMPRODUCT(("SUP_WSTBIO"=[1]OUT_SyntheticFuels!$C$4:$C$1000)*1,("elc35"=[1]OUT_SyntheticFuels!$A$4:$A$1000)*1,("Var_Fout"=[1]OUT_SyntheticFuels!$B$4:$B$1000)*1,[1]OUT_SyntheticFuels!E$4:E$1000)</f>
        <v>0.11258845860630171</v>
      </c>
      <c r="G625" s="1" cm="1">
        <f t="array" ref="G625">SUMPRODUCT(("SUP_WSTBIO"=[1]OUT_SyntheticFuels!$C$4:$C$1000)*1,("elc35"=[1]OUT_SyntheticFuels!$A$4:$A$1000)*1,("Var_Fout"=[1]OUT_SyntheticFuels!$B$4:$B$1000)*1,[1]OUT_SyntheticFuels!F$4:F$1000)</f>
        <v>0.12476482829540161</v>
      </c>
      <c r="H625" s="1" cm="1">
        <f t="array" ref="H625">SUMPRODUCT(("SUP_WSTBIO"=[1]OUT_SyntheticFuels!$C$4:$C$1000)*1,("elc35"=[1]OUT_SyntheticFuels!$A$4:$A$1000)*1,("Var_Fout"=[1]OUT_SyntheticFuels!$B$4:$B$1000)*1,[1]OUT_SyntheticFuels!G$4:G$1000)</f>
        <v>0.12058133311466235</v>
      </c>
      <c r="I625" s="1" cm="1">
        <f t="array" ref="I625">SUMPRODUCT(("SUP_WSTBIO"=[1]OUT_SyntheticFuels!$C$4:$C$1000)*1,("elc35"=[1]OUT_SyntheticFuels!$A$4:$A$1000)*1,("Var_Fout"=[1]OUT_SyntheticFuels!$B$4:$B$1000)*1,[1]OUT_SyntheticFuels!H$4:H$1000)</f>
        <v>0.12437536167998826</v>
      </c>
      <c r="J625" s="1" cm="1">
        <f t="array" ref="J625">SUMPRODUCT(("SUP_WSTBIO"=[1]OUT_SyntheticFuels!$C$4:$C$1000)*1,("elc35"=[1]OUT_SyntheticFuels!$A$4:$A$1000)*1,("Var_Fout"=[1]OUT_SyntheticFuels!$B$4:$B$1000)*1,[1]OUT_SyntheticFuels!I$4:I$1000)</f>
        <v>1.6822314074127101E-3</v>
      </c>
      <c r="K625" s="1" cm="1">
        <f t="array" ref="K625">SUMPRODUCT(("SUP_WSTBIO"=[1]OUT_SyntheticFuels!$C$4:$C$1000)*1,("elc35"=[1]OUT_SyntheticFuels!$A$4:$A$1000)*1,("Var_Fout"=[1]OUT_SyntheticFuels!$B$4:$B$1000)*1,[1]OUT_SyntheticFuels!J$4:J$1000)</f>
        <v>2.930387574300299E-6</v>
      </c>
    </row>
    <row r="626" spans="2:11" x14ac:dyDescent="0.35">
      <c r="B626" s="5" t="str">
        <f t="shared" si="349"/>
        <v>SPS3</v>
      </c>
      <c r="C626" s="5" t="s">
        <v>7</v>
      </c>
      <c r="D626" t="s">
        <v>332</v>
      </c>
      <c r="E626" s="5" t="s">
        <v>8</v>
      </c>
      <c r="F626" s="1" cm="1">
        <f t="array" ref="F626">SUMPRODUCT(("SUP_WSTBIOCCS"=[1]OUT_SyntheticFuels!$C$4:$C$1000)*1,("elc35"=[1]OUT_SyntheticFuels!$A$4:$A$1000)*1,("Var_Fout"=[1]OUT_SyntheticFuels!$B$4:$B$1000)*1,[1]OUT_SyntheticFuels!E$4:E$1000)</f>
        <v>0</v>
      </c>
      <c r="G626" s="1" cm="1">
        <f t="array" ref="G626">SUMPRODUCT(("SUP_WSTBIOCCS"=[1]OUT_SyntheticFuels!$C$4:$C$1000)*1,("elc35"=[1]OUT_SyntheticFuels!$A$4:$A$1000)*1,("Var_Fout"=[1]OUT_SyntheticFuels!$B$4:$B$1000)*1,[1]OUT_SyntheticFuels!F$4:F$1000)</f>
        <v>0</v>
      </c>
      <c r="H626" s="1" cm="1">
        <f t="array" ref="H626">SUMPRODUCT(("SUP_WSTBIOCCS"=[1]OUT_SyntheticFuels!$C$4:$C$1000)*1,("elc35"=[1]OUT_SyntheticFuels!$A$4:$A$1000)*1,("Var_Fout"=[1]OUT_SyntheticFuels!$B$4:$B$1000)*1,[1]OUT_SyntheticFuels!G$4:G$1000)</f>
        <v>0</v>
      </c>
      <c r="I626" s="1" cm="1">
        <f t="array" ref="I626">SUMPRODUCT(("SUP_WSTBIOCCS"=[1]OUT_SyntheticFuels!$C$4:$C$1000)*1,("elc35"=[1]OUT_SyntheticFuels!$A$4:$A$1000)*1,("Var_Fout"=[1]OUT_SyntheticFuels!$B$4:$B$1000)*1,[1]OUT_SyntheticFuels!H$4:H$1000)</f>
        <v>0</v>
      </c>
      <c r="J626" s="1" cm="1">
        <f t="array" ref="J626">SUMPRODUCT(("SUP_WSTBIOCCS"=[1]OUT_SyntheticFuels!$C$4:$C$1000)*1,("elc35"=[1]OUT_SyntheticFuels!$A$4:$A$1000)*1,("Var_Fout"=[1]OUT_SyntheticFuels!$B$4:$B$1000)*1,[1]OUT_SyntheticFuels!I$4:I$1000)</f>
        <v>0</v>
      </c>
      <c r="K626" s="1" cm="1">
        <f t="array" ref="K626">SUMPRODUCT(("SUP_WSTBIOCCS"=[1]OUT_SyntheticFuels!$C$4:$C$1000)*1,("elc35"=[1]OUT_SyntheticFuels!$A$4:$A$1000)*1,("Var_Fout"=[1]OUT_SyntheticFuels!$B$4:$B$1000)*1,[1]OUT_SyntheticFuels!J$4:J$1000)</f>
        <v>0</v>
      </c>
    </row>
    <row r="627" spans="2:11" x14ac:dyDescent="0.35">
      <c r="B627" s="5" t="str">
        <f t="shared" si="349"/>
        <v>SPS3</v>
      </c>
      <c r="C627" s="5" t="s">
        <v>7</v>
      </c>
      <c r="D627" t="s">
        <v>333</v>
      </c>
      <c r="E627" s="5" t="s">
        <v>8</v>
      </c>
      <c r="F627" s="1" cm="1">
        <f t="array" ref="F627">SUMPRODUCT(("SUP_WSTHTGBIO"=[1]OUT_SyntheticFuels!$C$4:$C$1000)*1,("elc35"=[1]OUT_SyntheticFuels!$A$4:$A$1000)*1,("Var_Fout"=[1]OUT_SyntheticFuels!$B$4:$B$1000)*1,[1]OUT_SyntheticFuels!E$4:E$1000)</f>
        <v>0</v>
      </c>
      <c r="G627" s="1" cm="1">
        <f t="array" ref="G627">SUMPRODUCT(("SUP_WSTHTGBIO"=[1]OUT_SyntheticFuels!$C$4:$C$1000)*1,("elc35"=[1]OUT_SyntheticFuels!$A$4:$A$1000)*1,("Var_Fout"=[1]OUT_SyntheticFuels!$B$4:$B$1000)*1,[1]OUT_SyntheticFuels!F$4:F$1000)</f>
        <v>0</v>
      </c>
      <c r="H627" s="1" cm="1">
        <f t="array" ref="H627">SUMPRODUCT(("SUP_WSTHTGBIO"=[1]OUT_SyntheticFuels!$C$4:$C$1000)*1,("elc35"=[1]OUT_SyntheticFuels!$A$4:$A$1000)*1,("Var_Fout"=[1]OUT_SyntheticFuels!$B$4:$B$1000)*1,[1]OUT_SyntheticFuels!G$4:G$1000)</f>
        <v>0</v>
      </c>
      <c r="I627" s="1" cm="1">
        <f t="array" ref="I627">SUMPRODUCT(("SUP_WSTHTGBIO"=[1]OUT_SyntheticFuels!$C$4:$C$1000)*1,("elc35"=[1]OUT_SyntheticFuels!$A$4:$A$1000)*1,("Var_Fout"=[1]OUT_SyntheticFuels!$B$4:$B$1000)*1,[1]OUT_SyntheticFuels!H$4:H$1000)</f>
        <v>0</v>
      </c>
      <c r="J627" s="1" cm="1">
        <f t="array" ref="J627">SUMPRODUCT(("SUP_WSTHTGBIO"=[1]OUT_SyntheticFuels!$C$4:$C$1000)*1,("elc35"=[1]OUT_SyntheticFuels!$A$4:$A$1000)*1,("Var_Fout"=[1]OUT_SyntheticFuels!$B$4:$B$1000)*1,[1]OUT_SyntheticFuels!I$4:I$1000)</f>
        <v>0</v>
      </c>
      <c r="K627" s="1" cm="1">
        <f t="array" ref="K627">SUMPRODUCT(("SUP_WSTHTGBIO"=[1]OUT_SyntheticFuels!$C$4:$C$1000)*1,("elc35"=[1]OUT_SyntheticFuels!$A$4:$A$1000)*1,("Var_Fout"=[1]OUT_SyntheticFuels!$B$4:$B$1000)*1,[1]OUT_SyntheticFuels!J$4:J$1000)</f>
        <v>0</v>
      </c>
    </row>
    <row r="628" spans="2:11" x14ac:dyDescent="0.35">
      <c r="B628" s="5" t="str">
        <f t="shared" ref="B628:B691" si="383">B627</f>
        <v>SPS3</v>
      </c>
      <c r="C628" s="5" t="s">
        <v>7</v>
      </c>
      <c r="D628" t="s">
        <v>334</v>
      </c>
      <c r="E628" s="5" t="s">
        <v>8</v>
      </c>
      <c r="F628" s="1" cm="1">
        <f t="array" ref="F628">SUMPRODUCT(("SUP_WSTHTGBIOCCS"=[1]OUT_SyntheticFuels!$C$4:$C$1000)*1,("elc35"=[1]OUT_SyntheticFuels!$A$4:$A$1000)*1,("Var_Fout"=[1]OUT_SyntheticFuels!$B$4:$B$1000)*1,[1]OUT_SyntheticFuels!E$4:E$1000)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SUMPRODUCT(("SUP_WSTHTGBIOCCS"=[1]OUT_SyntheticFuels!$C$4:$C$1000)*1,("elc35"=[1]OUT_SyntheticFuels!$A$4:$A$1000)*1,("Var_Fout"=[1]OUT_SyntheticFuels!$B$4:$B$1000)*1,[1]OUT_SyntheticFuels!F$4:F$1000)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SUMPRODUCT(("SUP_WSTHTGBIOCCS"=[1]OUT_SyntheticFuels!$C$4:$C$1000)*1,("elc35"=[1]OUT_SyntheticFuels!$A$4:$A$1000)*1,("Var_Fout"=[1]OUT_SyntheticFuels!$B$4:$B$1000)*1,[1]OUT_SyntheticFuels!G$4:G$1000)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SUMPRODUCT(("SUP_WSTHTGBIOCCS"=[1]OUT_SyntheticFuels!$C$4:$C$1000)*1,("elc35"=[1]OUT_SyntheticFuels!$A$4:$A$1000)*1,("Var_Fout"=[1]OUT_SyntheticFuels!$B$4:$B$1000)*1,[1]OUT_SyntheticFuels!H$4:H$1000)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SUMPRODUCT(("SUP_WSTHTGBIOCCS"=[1]OUT_SyntheticFuels!$C$4:$C$1000)*1,("elc35"=[1]OUT_SyntheticFuels!$A$4:$A$1000)*1,("Var_Fout"=[1]OUT_SyntheticFuels!$B$4:$B$1000)*1,[1]OUT_SyntheticFuels!I$4:I$1000)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SUMPRODUCT(("SUP_WSTHTGBIOCCS"=[1]OUT_SyntheticFuels!$C$4:$C$1000)*1,("elc35"=[1]OUT_SyntheticFuels!$A$4:$A$1000)*1,("Var_Fout"=[1]OUT_SyntheticFuels!$B$4:$B$1000)*1,[1]OUT_SyntheticFuels!J$4:J$1000)</f>
        <v>0</v>
      </c>
    </row>
    <row r="629" spans="2:11" x14ac:dyDescent="0.35">
      <c r="B629" s="5" t="str">
        <f t="shared" si="383"/>
        <v>SPS3</v>
      </c>
      <c r="C629" s="5" t="s">
        <v>7</v>
      </c>
      <c r="D629" t="s">
        <v>911</v>
      </c>
      <c r="E629" s="5" t="s">
        <v>8</v>
      </c>
      <c r="F629" s="1">
        <f>SUM(F630:F631)</f>
        <v>0</v>
      </c>
      <c r="G629" s="1">
        <f t="shared" ref="G629:K629" si="384">SUM(G630:G631)</f>
        <v>3.1546058735046972E-6</v>
      </c>
      <c r="H629" s="1">
        <f t="shared" si="384"/>
        <v>8.4384122166082864E-6</v>
      </c>
      <c r="I629" s="1">
        <f t="shared" si="384"/>
        <v>1.9559549732817898E-4</v>
      </c>
      <c r="J629" s="1">
        <f t="shared" si="384"/>
        <v>0.25330158077026088</v>
      </c>
      <c r="K629" s="1">
        <f t="shared" si="384"/>
        <v>0.25329972938212736</v>
      </c>
    </row>
    <row r="630" spans="2:11" x14ac:dyDescent="0.35">
      <c r="B630" s="5" t="str">
        <f t="shared" si="383"/>
        <v>SPS3</v>
      </c>
      <c r="C630" s="5" t="s">
        <v>7</v>
      </c>
      <c r="D630" t="s">
        <v>335</v>
      </c>
      <c r="E630" s="5" t="s">
        <v>8</v>
      </c>
      <c r="F630" s="1" cm="1">
        <f t="array" ref="F630">SUMPRODUCT(("SUP_WODBIO"=[1]OUT_SyntheticFuels!$C$4:$C$1000)*1,("elc35"=[1]OUT_SyntheticFuels!$A$4:$A$1000)*1,("Var_Fout"=[1]OUT_SyntheticFuels!$B$4:$B$1000)*1,[1]OUT_SyntheticFuels!E$4:E$1000)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SUMPRODUCT(("SUP_WODBIO"=[1]OUT_SyntheticFuels!$C$4:$C$1000)*1,("elc35"=[1]OUT_SyntheticFuels!$A$4:$A$1000)*1,("Var_Fout"=[1]OUT_SyntheticFuels!$B$4:$B$1000)*1,[1]OUT_SyntheticFuels!F$4:F$1000)</f>
        <v>3.1546058735046972E-6</v>
      </c>
      <c r="H630" s="1" cm="1">
        <f t="array" ref="H630">SUMPRODUCT(("SUP_WODBIO"=[1]OUT_SyntheticFuels!$C$4:$C$1000)*1,("elc35"=[1]OUT_SyntheticFuels!$A$4:$A$1000)*1,("Var_Fout"=[1]OUT_SyntheticFuels!$B$4:$B$1000)*1,[1]OUT_SyntheticFuels!G$4:G$1000)</f>
        <v>8.4384122166082864E-6</v>
      </c>
      <c r="I630" s="1" cm="1">
        <f t="array" ref="I630">SUMPRODUCT(("SUP_WODBIO"=[1]OUT_SyntheticFuels!$C$4:$C$1000)*1,("elc35"=[1]OUT_SyntheticFuels!$A$4:$A$1000)*1,("Var_Fout"=[1]OUT_SyntheticFuels!$B$4:$B$1000)*1,[1]OUT_SyntheticFuels!H$4:H$1000)</f>
        <v>1.9559549732817898E-4</v>
      </c>
      <c r="J630" s="1" cm="1">
        <f t="array" ref="J630">SUMPRODUCT(("SUP_WODBIO"=[1]OUT_SyntheticFuels!$C$4:$C$1000)*1,("elc35"=[1]OUT_SyntheticFuels!$A$4:$A$1000)*1,("Var_Fout"=[1]OUT_SyntheticFuels!$B$4:$B$1000)*1,[1]OUT_SyntheticFuels!I$4:I$1000)</f>
        <v>0.25328880886836008</v>
      </c>
      <c r="K630" s="1" cm="1">
        <f t="array" ref="K630">SUMPRODUCT(("SUP_WODBIO"=[1]OUT_SyntheticFuels!$C$4:$C$1000)*1,("elc35"=[1]OUT_SyntheticFuels!$A$4:$A$1000)*1,("Var_Fout"=[1]OUT_SyntheticFuels!$B$4:$B$1000)*1,[1]OUT_SyntheticFuels!J$4:J$1000)</f>
        <v>0.23602278645725858</v>
      </c>
    </row>
    <row r="631" spans="2:11" x14ac:dyDescent="0.35">
      <c r="B631" s="5" t="str">
        <f t="shared" si="383"/>
        <v>SPS3</v>
      </c>
      <c r="C631" s="5" t="s">
        <v>7</v>
      </c>
      <c r="D631" t="s">
        <v>336</v>
      </c>
      <c r="E631" s="5" t="s">
        <v>8</v>
      </c>
      <c r="F631" s="1" cm="1">
        <f t="array" ref="F631">SUMPRODUCT(("SUP_WODBIOCCS"=[1]OUT_SyntheticFuels!$C$4:$C$1000)*1,("elc35"=[1]OUT_SyntheticFuels!$A$4:$A$1000)*1,("Var_Fout"=[1]OUT_SyntheticFuels!$B$4:$B$1000)*1,[1]OUT_SyntheticFuels!E$4:E$1000)</f>
        <v>0</v>
      </c>
      <c r="G631" s="1" cm="1">
        <f t="array" ref="G631">SUMPRODUCT(("SUP_WODBIOCCS"=[1]OUT_SyntheticFuels!$C$4:$C$1000)*1,("elc35"=[1]OUT_SyntheticFuels!$A$4:$A$1000)*1,("Var_Fout"=[1]OUT_SyntheticFuels!$B$4:$B$1000)*1,[1]OUT_SyntheticFuels!F$4:F$1000)</f>
        <v>0</v>
      </c>
      <c r="H631" s="1" cm="1">
        <f t="array" ref="H631">SUMPRODUCT(("SUP_WODBIOCCS"=[1]OUT_SyntheticFuels!$C$4:$C$1000)*1,("elc35"=[1]OUT_SyntheticFuels!$A$4:$A$1000)*1,("Var_Fout"=[1]OUT_SyntheticFuels!$B$4:$B$1000)*1,[1]OUT_SyntheticFuels!G$4:G$1000)</f>
        <v>0</v>
      </c>
      <c r="I631" s="1" cm="1">
        <f t="array" ref="I631">SUMPRODUCT(("SUP_WODBIOCCS"=[1]OUT_SyntheticFuels!$C$4:$C$1000)*1,("elc35"=[1]OUT_SyntheticFuels!$A$4:$A$1000)*1,("Var_Fout"=[1]OUT_SyntheticFuels!$B$4:$B$1000)*1,[1]OUT_SyntheticFuels!H$4:H$1000)</f>
        <v>0</v>
      </c>
      <c r="J631" s="1" cm="1">
        <f t="array" ref="J631">SUMPRODUCT(("SUP_WODBIOCCS"=[1]OUT_SyntheticFuels!$C$4:$C$1000)*1,("elc35"=[1]OUT_SyntheticFuels!$A$4:$A$1000)*1,("Var_Fout"=[1]OUT_SyntheticFuels!$B$4:$B$1000)*1,[1]OUT_SyntheticFuels!I$4:I$1000)</f>
        <v>1.2771901900787642E-5</v>
      </c>
      <c r="K631" s="1" cm="1">
        <f t="array" ref="K631">SUMPRODUCT(("SUP_WODBIOCCS"=[1]OUT_SyntheticFuels!$C$4:$C$1000)*1,("elc35"=[1]OUT_SyntheticFuels!$A$4:$A$1000)*1,("Var_Fout"=[1]OUT_SyntheticFuels!$B$4:$B$1000)*1,[1]OUT_SyntheticFuels!J$4:J$1000)</f>
        <v>1.7276942924868786E-2</v>
      </c>
    </row>
    <row r="632" spans="2:11" x14ac:dyDescent="0.35">
      <c r="B632" s="5" t="str">
        <f t="shared" si="383"/>
        <v>SPS3</v>
      </c>
      <c r="C632" s="5" t="s">
        <v>7</v>
      </c>
      <c r="D632" s="2" t="s">
        <v>385</v>
      </c>
      <c r="E632" s="9" t="s">
        <v>8</v>
      </c>
      <c r="F632" s="3">
        <f>F633+F634+F639</f>
        <v>0</v>
      </c>
      <c r="G632" s="3">
        <f t="shared" ref="G632" si="385">G633+G634+G639</f>
        <v>9.4638176205140727E-6</v>
      </c>
      <c r="H632" s="3">
        <f t="shared" ref="H632" si="386">H633+H634+H639</f>
        <v>2.5315236649824842E-5</v>
      </c>
      <c r="I632" s="3">
        <f t="shared" ref="I632" si="387">I633+I634+I639</f>
        <v>5.8678649198453628E-4</v>
      </c>
      <c r="J632" s="3">
        <f t="shared" ref="J632" si="388">J633+J634+J639</f>
        <v>0.75990184178812614</v>
      </c>
      <c r="K632" s="3">
        <f t="shared" ref="K632" si="389">K633+K634+K639</f>
        <v>0.7598964588351319</v>
      </c>
    </row>
    <row r="633" spans="2:11" x14ac:dyDescent="0.35">
      <c r="B633" s="5" t="str">
        <f t="shared" si="383"/>
        <v>SPS3</v>
      </c>
      <c r="C633" s="5" t="s">
        <v>7</v>
      </c>
      <c r="D633" t="s">
        <v>337</v>
      </c>
      <c r="E633" s="5" t="s">
        <v>8</v>
      </c>
      <c r="F633" s="1" cm="1">
        <f t="array" ref="F633">SUMPRODUCT(("SUP_MNRBIO"=[1]OUT_SyntheticFuels!$C$4:$C$1000)*1,("Var_Fout"=[1]OUT_SyntheticFuels!$B$4:$B$1000)*1,("LTH"=[1]OUT_SyntheticFuels!$A$4:$A$1000)*1,[1]OUT_SyntheticFuels!E$4:E$1000)</f>
        <v>0</v>
      </c>
      <c r="G633" s="1" cm="1">
        <f t="array" ref="G633">SUMPRODUCT(("SUP_MNRBIO"=[1]OUT_SyntheticFuels!$C$4:$C$1000)*1,("Var_Fout"=[1]OUT_SyntheticFuels!$B$4:$B$1000)*1,("LTH"=[1]OUT_SyntheticFuels!$A$4:$A$1000)*1,[1]OUT_SyntheticFuels!F$4:F$1000)</f>
        <v>0</v>
      </c>
      <c r="H633" s="1" cm="1">
        <f t="array" ref="H633">SUMPRODUCT(("SUP_MNRBIO"=[1]OUT_SyntheticFuels!$C$4:$C$1000)*1,("Var_Fout"=[1]OUT_SyntheticFuels!$B$4:$B$1000)*1,("LTH"=[1]OUT_SyntheticFuels!$A$4:$A$1000)*1,[1]OUT_SyntheticFuels!G$4:G$1000)</f>
        <v>0</v>
      </c>
      <c r="I633" s="1" cm="1">
        <f t="array" ref="I633">SUMPRODUCT(("SUP_MNRBIO"=[1]OUT_SyntheticFuels!$C$4:$C$1000)*1,("Var_Fout"=[1]OUT_SyntheticFuels!$B$4:$B$1000)*1,("LTH"=[1]OUT_SyntheticFuels!$A$4:$A$1000)*1,[1]OUT_SyntheticFuels!H$4:H$1000)</f>
        <v>0</v>
      </c>
      <c r="J633" s="1" cm="1">
        <f t="array" ref="J633">SUMPRODUCT(("SUP_MNRBIO"=[1]OUT_SyntheticFuels!$C$4:$C$1000)*1,("Var_Fout"=[1]OUT_SyntheticFuels!$B$4:$B$1000)*1,("LTH"=[1]OUT_SyntheticFuels!$A$4:$A$1000)*1,[1]OUT_SyntheticFuels!I$4:I$1000)</f>
        <v>0</v>
      </c>
      <c r="K633" s="1" cm="1">
        <f t="array" ref="K633">SUMPRODUCT(("SUP_MNRBIO"=[1]OUT_SyntheticFuels!$C$4:$C$1000)*1,("Var_Fout"=[1]OUT_SyntheticFuels!$B$4:$B$1000)*1,("LTH"=[1]OUT_SyntheticFuels!$A$4:$A$1000)*1,[1]OUT_SyntheticFuels!J$4:J$1000)</f>
        <v>0</v>
      </c>
    </row>
    <row r="634" spans="2:11" x14ac:dyDescent="0.35">
      <c r="B634" s="5" t="str">
        <f t="shared" si="383"/>
        <v>SPS3</v>
      </c>
      <c r="C634" s="5" t="s">
        <v>7</v>
      </c>
      <c r="D634" t="s">
        <v>913</v>
      </c>
      <c r="E634" s="5" t="s">
        <v>8</v>
      </c>
      <c r="F634" s="1">
        <f>SUM(F635:F638)</f>
        <v>0</v>
      </c>
      <c r="G634" s="1">
        <f t="shared" ref="G634" si="390">SUM(G635:G638)</f>
        <v>0</v>
      </c>
      <c r="H634" s="1">
        <f t="shared" ref="H634" si="391">SUM(H635:H638)</f>
        <v>0</v>
      </c>
      <c r="I634" s="1">
        <f t="shared" ref="I634" si="392">SUM(I635:I638)</f>
        <v>0</v>
      </c>
      <c r="J634" s="1">
        <f t="shared" ref="J634" si="393">SUM(J635:J638)</f>
        <v>0</v>
      </c>
      <c r="K634" s="1">
        <f t="shared" ref="K634" si="394">SUM(K635:K638)</f>
        <v>0</v>
      </c>
    </row>
    <row r="635" spans="2:11" x14ac:dyDescent="0.35">
      <c r="B635" s="5" t="str">
        <f t="shared" si="383"/>
        <v>SPS3</v>
      </c>
      <c r="C635" s="5" t="s">
        <v>7</v>
      </c>
      <c r="D635" t="s">
        <v>338</v>
      </c>
      <c r="E635" s="5" t="s">
        <v>8</v>
      </c>
      <c r="F635" s="1" cm="1">
        <f t="array" ref="F635">SUMPRODUCT(("SUP_WSTBIO"=[1]OUT_SyntheticFuels!$C$4:$C$1000)*1,("LTH"=[1]OUT_SyntheticFuels!$A$4:$A$1000)*1,("Var_Fout"=[1]OUT_SyntheticFuels!$B$4:$B$1000)*1,[1]OUT_SyntheticFuels!E$4:E$1000)</f>
        <v>0</v>
      </c>
      <c r="G635" s="1" cm="1">
        <f t="array" ref="G635">SUMPRODUCT(("SUP_WSTBIO"=[1]OUT_SyntheticFuels!$C$4:$C$1000)*1,("LTH"=[1]OUT_SyntheticFuels!$A$4:$A$1000)*1,("Var_Fout"=[1]OUT_SyntheticFuels!$B$4:$B$1000)*1,[1]OUT_SyntheticFuels!F$4:F$1000)</f>
        <v>0</v>
      </c>
      <c r="H635" s="1" cm="1">
        <f t="array" ref="H635">SUMPRODUCT(("SUP_WSTBIO"=[1]OUT_SyntheticFuels!$C$4:$C$1000)*1,("LTH"=[1]OUT_SyntheticFuels!$A$4:$A$1000)*1,("Var_Fout"=[1]OUT_SyntheticFuels!$B$4:$B$1000)*1,[1]OUT_SyntheticFuels!G$4:G$1000)</f>
        <v>0</v>
      </c>
      <c r="I635" s="1" cm="1">
        <f t="array" ref="I635">SUMPRODUCT(("SUP_WSTBIO"=[1]OUT_SyntheticFuels!$C$4:$C$1000)*1,("LTH"=[1]OUT_SyntheticFuels!$A$4:$A$1000)*1,("Var_Fout"=[1]OUT_SyntheticFuels!$B$4:$B$1000)*1,[1]OUT_SyntheticFuels!H$4:H$1000)</f>
        <v>0</v>
      </c>
      <c r="J635" s="1" cm="1">
        <f t="array" ref="J635">SUMPRODUCT(("SUP_WSTBIO"=[1]OUT_SyntheticFuels!$C$4:$C$1000)*1,("LTH"=[1]OUT_SyntheticFuels!$A$4:$A$1000)*1,("Var_Fout"=[1]OUT_SyntheticFuels!$B$4:$B$1000)*1,[1]OUT_SyntheticFuels!I$4:I$1000)</f>
        <v>0</v>
      </c>
      <c r="K635" s="1" cm="1">
        <f t="array" ref="K635">SUMPRODUCT(("SUP_WSTBIO"=[1]OUT_SyntheticFuels!$C$4:$C$1000)*1,("LTH"=[1]OUT_SyntheticFuels!$A$4:$A$1000)*1,("Var_Fout"=[1]OUT_SyntheticFuels!$B$4:$B$1000)*1,[1]OUT_SyntheticFuels!J$4:J$1000)</f>
        <v>0</v>
      </c>
    </row>
    <row r="636" spans="2:11" x14ac:dyDescent="0.35">
      <c r="B636" s="5" t="str">
        <f t="shared" si="383"/>
        <v>SPS3</v>
      </c>
      <c r="C636" s="5" t="s">
        <v>7</v>
      </c>
      <c r="D636" t="s">
        <v>339</v>
      </c>
      <c r="E636" s="5" t="s">
        <v>8</v>
      </c>
      <c r="F636" s="1" cm="1">
        <f t="array" ref="F636">SUMPRODUCT(("SUP_WSTBIOCCS"=[1]OUT_SyntheticFuels!$C$4:$C$1000)*1,("LTH"=[1]OUT_SyntheticFuels!$A$4:$A$1000)*1,("Var_Fout"=[1]OUT_SyntheticFuels!$B$4:$B$1000)*1,[1]OUT_SyntheticFuels!E$4:E$1000)</f>
        <v>0</v>
      </c>
      <c r="G636" s="1" cm="1">
        <f t="array" ref="G636">SUMPRODUCT(("SUP_WSTBIOCCS"=[1]OUT_SyntheticFuels!$C$4:$C$1000)*1,("LTH"=[1]OUT_SyntheticFuels!$A$4:$A$1000)*1,("Var_Fout"=[1]OUT_SyntheticFuels!$B$4:$B$1000)*1,[1]OUT_SyntheticFuels!F$4:F$1000)</f>
        <v>0</v>
      </c>
      <c r="H636" s="1" cm="1">
        <f t="array" ref="H636">SUMPRODUCT(("SUP_WSTBIOCCS"=[1]OUT_SyntheticFuels!$C$4:$C$1000)*1,("LTH"=[1]OUT_SyntheticFuels!$A$4:$A$1000)*1,("Var_Fout"=[1]OUT_SyntheticFuels!$B$4:$B$1000)*1,[1]OUT_SyntheticFuels!G$4:G$1000)</f>
        <v>0</v>
      </c>
      <c r="I636" s="1" cm="1">
        <f t="array" ref="I636">SUMPRODUCT(("SUP_WSTBIOCCS"=[1]OUT_SyntheticFuels!$C$4:$C$1000)*1,("LTH"=[1]OUT_SyntheticFuels!$A$4:$A$1000)*1,("Var_Fout"=[1]OUT_SyntheticFuels!$B$4:$B$1000)*1,[1]OUT_SyntheticFuels!H$4:H$1000)</f>
        <v>0</v>
      </c>
      <c r="J636" s="1" cm="1">
        <f t="array" ref="J636">SUMPRODUCT(("SUP_WSTBIOCCS"=[1]OUT_SyntheticFuels!$C$4:$C$1000)*1,("LTH"=[1]OUT_SyntheticFuels!$A$4:$A$1000)*1,("Var_Fout"=[1]OUT_SyntheticFuels!$B$4:$B$1000)*1,[1]OUT_SyntheticFuels!I$4:I$1000)</f>
        <v>0</v>
      </c>
      <c r="K636" s="1" cm="1">
        <f t="array" ref="K636">SUMPRODUCT(("SUP_WSTBIOCCS"=[1]OUT_SyntheticFuels!$C$4:$C$1000)*1,("LTH"=[1]OUT_SyntheticFuels!$A$4:$A$1000)*1,("Var_Fout"=[1]OUT_SyntheticFuels!$B$4:$B$1000)*1,[1]OUT_SyntheticFuels!J$4:J$1000)</f>
        <v>0</v>
      </c>
    </row>
    <row r="637" spans="2:11" x14ac:dyDescent="0.35">
      <c r="B637" s="5" t="str">
        <f t="shared" si="383"/>
        <v>SPS3</v>
      </c>
      <c r="C637" s="5" t="s">
        <v>7</v>
      </c>
      <c r="D637" t="s">
        <v>340</v>
      </c>
      <c r="E637" s="5" t="s">
        <v>8</v>
      </c>
      <c r="F637" s="1" cm="1">
        <f t="array" ref="F637">SUMPRODUCT(("SUP_WSTHTGBIO"=[1]OUT_SyntheticFuels!$C$4:$C$1000)*1,("LTH"=[1]OUT_SyntheticFuels!$A$4:$A$1000)*1,("Var_Fout"=[1]OUT_SyntheticFuels!$B$4:$B$1000)*1,[1]OUT_SyntheticFuels!E$4:E$1000)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SUMPRODUCT(("SUP_WSTHTGBIO"=[1]OUT_SyntheticFuels!$C$4:$C$1000)*1,("LTH"=[1]OUT_SyntheticFuels!$A$4:$A$1000)*1,("Var_Fout"=[1]OUT_SyntheticFuels!$B$4:$B$1000)*1,[1]OUT_SyntheticFuels!F$4:F$1000)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SUMPRODUCT(("SUP_WSTHTGBIO"=[1]OUT_SyntheticFuels!$C$4:$C$1000)*1,("LTH"=[1]OUT_SyntheticFuels!$A$4:$A$1000)*1,("Var_Fout"=[1]OUT_SyntheticFuels!$B$4:$B$1000)*1,[1]OUT_SyntheticFuels!G$4:G$1000)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SUMPRODUCT(("SUP_WSTHTGBIO"=[1]OUT_SyntheticFuels!$C$4:$C$1000)*1,("LTH"=[1]OUT_SyntheticFuels!$A$4:$A$1000)*1,("Var_Fout"=[1]OUT_SyntheticFuels!$B$4:$B$1000)*1,[1]OUT_SyntheticFuels!H$4:H$1000)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SUMPRODUCT(("SUP_WSTHTGBIO"=[1]OUT_SyntheticFuels!$C$4:$C$1000)*1,("LTH"=[1]OUT_SyntheticFuels!$A$4:$A$1000)*1,("Var_Fout"=[1]OUT_SyntheticFuels!$B$4:$B$1000)*1,[1]OUT_SyntheticFuels!I$4:I$1000)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SUMPRODUCT(("SUP_WSTHTGBIO"=[1]OUT_SyntheticFuels!$C$4:$C$1000)*1,("LTH"=[1]OUT_SyntheticFuels!$A$4:$A$1000)*1,("Var_Fout"=[1]OUT_SyntheticFuels!$B$4:$B$1000)*1,[1]OUT_SyntheticFuels!J$4:J$1000)</f>
        <v>0</v>
      </c>
    </row>
    <row r="638" spans="2:11" x14ac:dyDescent="0.35">
      <c r="B638" s="5" t="str">
        <f t="shared" si="383"/>
        <v>SPS3</v>
      </c>
      <c r="C638" s="5" t="s">
        <v>7</v>
      </c>
      <c r="D638" t="s">
        <v>341</v>
      </c>
      <c r="E638" s="5" t="s">
        <v>8</v>
      </c>
      <c r="F638" s="1" cm="1">
        <f t="array" ref="F638">SUMPRODUCT(("SUP_WSTHTGBIOCCS"=[1]OUT_SyntheticFuels!$C$4:$C$1000)*1,("LTH"=[1]OUT_SyntheticFuels!$A$4:$A$1000)*1,("Var_Fout"=[1]OUT_SyntheticFuels!$B$4:$B$1000)*1,[1]OUT_SyntheticFuels!E$4:E$1000)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SUMPRODUCT(("SUP_WSTHTGBIOCCS"=[1]OUT_SyntheticFuels!$C$4:$C$1000)*1,("LTH"=[1]OUT_SyntheticFuels!$A$4:$A$1000)*1,("Var_Fout"=[1]OUT_SyntheticFuels!$B$4:$B$1000)*1,[1]OUT_SyntheticFuels!F$4:F$1000)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SUMPRODUCT(("SUP_WSTHTGBIOCCS"=[1]OUT_SyntheticFuels!$C$4:$C$1000)*1,("LTH"=[1]OUT_SyntheticFuels!$A$4:$A$1000)*1,("Var_Fout"=[1]OUT_SyntheticFuels!$B$4:$B$1000)*1,[1]OUT_SyntheticFuels!G$4:G$1000)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SUMPRODUCT(("SUP_WSTHTGBIOCCS"=[1]OUT_SyntheticFuels!$C$4:$C$1000)*1,("LTH"=[1]OUT_SyntheticFuels!$A$4:$A$1000)*1,("Var_Fout"=[1]OUT_SyntheticFuels!$B$4:$B$1000)*1,[1]OUT_SyntheticFuels!H$4:H$1000)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SUMPRODUCT(("SUP_WSTHTGBIOCCS"=[1]OUT_SyntheticFuels!$C$4:$C$1000)*1,("LTH"=[1]OUT_SyntheticFuels!$A$4:$A$1000)*1,("Var_Fout"=[1]OUT_SyntheticFuels!$B$4:$B$1000)*1,[1]OUT_SyntheticFuels!I$4:I$1000)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SUMPRODUCT(("SUP_WSTHTGBIOCCS"=[1]OUT_SyntheticFuels!$C$4:$C$1000)*1,("LTH"=[1]OUT_SyntheticFuels!$A$4:$A$1000)*1,("Var_Fout"=[1]OUT_SyntheticFuels!$B$4:$B$1000)*1,[1]OUT_SyntheticFuels!J$4:J$1000)</f>
        <v>0</v>
      </c>
    </row>
    <row r="639" spans="2:11" x14ac:dyDescent="0.35">
      <c r="B639" s="5" t="str">
        <f t="shared" si="383"/>
        <v>SPS3</v>
      </c>
      <c r="C639" s="5" t="s">
        <v>7</v>
      </c>
      <c r="D639" t="s">
        <v>912</v>
      </c>
      <c r="E639" s="5" t="s">
        <v>8</v>
      </c>
      <c r="F639" s="1">
        <f>SUM(F640:F641)</f>
        <v>0</v>
      </c>
      <c r="G639" s="1">
        <f t="shared" ref="G639" si="395">SUM(G640:G641)</f>
        <v>9.4638176205140727E-6</v>
      </c>
      <c r="H639" s="1">
        <f t="shared" ref="H639" si="396">SUM(H640:H641)</f>
        <v>2.5315236649824842E-5</v>
      </c>
      <c r="I639" s="1">
        <f t="shared" ref="I639" si="397">SUM(I640:I641)</f>
        <v>5.8678649198453628E-4</v>
      </c>
      <c r="J639" s="1">
        <f t="shared" ref="J639" si="398">SUM(J640:J641)</f>
        <v>0.75990184178812614</v>
      </c>
      <c r="K639" s="1">
        <f t="shared" ref="K639" si="399">SUM(K640:K641)</f>
        <v>0.7598964588351319</v>
      </c>
    </row>
    <row r="640" spans="2:11" x14ac:dyDescent="0.35">
      <c r="B640" s="5" t="str">
        <f t="shared" si="383"/>
        <v>SPS3</v>
      </c>
      <c r="C640" s="5" t="s">
        <v>7</v>
      </c>
      <c r="D640" t="s">
        <v>342</v>
      </c>
      <c r="E640" s="5" t="s">
        <v>8</v>
      </c>
      <c r="F640" s="1" cm="1">
        <f t="array" ref="F640">SUMPRODUCT(("SUP_WODBIO"=[1]OUT_SyntheticFuels!$C$4:$C$1000)*1,("LTH"=[1]OUT_SyntheticFuels!$A$4:$A$1000)*1,("Var_Fout"=[1]OUT_SyntheticFuels!$B$4:$B$1000)*1,[1]OUT_SyntheticFuels!E$4:E$1000)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SUMPRODUCT(("SUP_WODBIO"=[1]OUT_SyntheticFuels!$C$4:$C$1000)*1,("LTH"=[1]OUT_SyntheticFuels!$A$4:$A$1000)*1,("Var_Fout"=[1]OUT_SyntheticFuels!$B$4:$B$1000)*1,[1]OUT_SyntheticFuels!F$4:F$1000)</f>
        <v>9.4638176205140727E-6</v>
      </c>
      <c r="H640" s="1" cm="1">
        <f t="array" ref="H640">SUMPRODUCT(("SUP_WODBIO"=[1]OUT_SyntheticFuels!$C$4:$C$1000)*1,("LTH"=[1]OUT_SyntheticFuels!$A$4:$A$1000)*1,("Var_Fout"=[1]OUT_SyntheticFuels!$B$4:$B$1000)*1,[1]OUT_SyntheticFuels!G$4:G$1000)</f>
        <v>2.5315236649824842E-5</v>
      </c>
      <c r="I640" s="1" cm="1">
        <f t="array" ref="I640">SUMPRODUCT(("SUP_WODBIO"=[1]OUT_SyntheticFuels!$C$4:$C$1000)*1,("LTH"=[1]OUT_SyntheticFuels!$A$4:$A$1000)*1,("Var_Fout"=[1]OUT_SyntheticFuels!$B$4:$B$1000)*1,[1]OUT_SyntheticFuels!H$4:H$1000)</f>
        <v>5.8678649198453628E-4</v>
      </c>
      <c r="J640" s="1" cm="1">
        <f t="array" ref="J640">SUMPRODUCT(("SUP_WODBIO"=[1]OUT_SyntheticFuels!$C$4:$C$1000)*1,("LTH"=[1]OUT_SyntheticFuels!$A$4:$A$1000)*1,("Var_Fout"=[1]OUT_SyntheticFuels!$B$4:$B$1000)*1,[1]OUT_SyntheticFuels!I$4:I$1000)</f>
        <v>0.75986642660507941</v>
      </c>
      <c r="K640" s="1" cm="1">
        <f t="array" ref="K640">SUMPRODUCT(("SUP_WODBIO"=[1]OUT_SyntheticFuels!$C$4:$C$1000)*1,("LTH"=[1]OUT_SyntheticFuels!$A$4:$A$1000)*1,("Var_Fout"=[1]OUT_SyntheticFuels!$B$4:$B$1000)*1,[1]OUT_SyntheticFuels!J$4:J$1000)</f>
        <v>0.70806835937177459</v>
      </c>
    </row>
    <row r="641" spans="2:11" x14ac:dyDescent="0.35">
      <c r="B641" s="5" t="str">
        <f t="shared" si="383"/>
        <v>SPS3</v>
      </c>
      <c r="C641" s="5" t="s">
        <v>7</v>
      </c>
      <c r="D641" t="s">
        <v>343</v>
      </c>
      <c r="E641" s="5" t="s">
        <v>8</v>
      </c>
      <c r="F641" s="1" cm="1">
        <f t="array" ref="F641">SUMPRODUCT(("SUP_WODBIOCCS"=[1]OUT_SyntheticFuels!$C$4:$C$1000)*1,("LTH"=[1]OUT_SyntheticFuels!$A$4:$A$1000)*1,("Var_Fout"=[1]OUT_SyntheticFuels!$B$4:$B$1000)*1,[1]OUT_SyntheticFuels!E$4:E$1000)</f>
        <v>0</v>
      </c>
      <c r="G641" s="1" cm="1">
        <f t="array" ref="G641">SUMPRODUCT(("SUP_WODBIOCCS"=[1]OUT_SyntheticFuels!$C$4:$C$1000)*1,("LTH"=[1]OUT_SyntheticFuels!$A$4:$A$1000)*1,("Var_Fout"=[1]OUT_SyntheticFuels!$B$4:$B$1000)*1,[1]OUT_SyntheticFuels!F$4:F$1000)</f>
        <v>0</v>
      </c>
      <c r="H641" s="1" cm="1">
        <f t="array" ref="H641">SUMPRODUCT(("SUP_WODBIOCCS"=[1]OUT_SyntheticFuels!$C$4:$C$1000)*1,("LTH"=[1]OUT_SyntheticFuels!$A$4:$A$1000)*1,("Var_Fout"=[1]OUT_SyntheticFuels!$B$4:$B$1000)*1,[1]OUT_SyntheticFuels!G$4:G$1000)</f>
        <v>0</v>
      </c>
      <c r="I641" s="1" cm="1">
        <f t="array" ref="I641">SUMPRODUCT(("SUP_WODBIOCCS"=[1]OUT_SyntheticFuels!$C$4:$C$1000)*1,("LTH"=[1]OUT_SyntheticFuels!$A$4:$A$1000)*1,("Var_Fout"=[1]OUT_SyntheticFuels!$B$4:$B$1000)*1,[1]OUT_SyntheticFuels!H$4:H$1000)</f>
        <v>0</v>
      </c>
      <c r="J641" s="1" cm="1">
        <f t="array" ref="J641">SUMPRODUCT(("SUP_WODBIOCCS"=[1]OUT_SyntheticFuels!$C$4:$C$1000)*1,("LTH"=[1]OUT_SyntheticFuels!$A$4:$A$1000)*1,("Var_Fout"=[1]OUT_SyntheticFuels!$B$4:$B$1000)*1,[1]OUT_SyntheticFuels!I$4:I$1000)</f>
        <v>3.5415183046753806E-5</v>
      </c>
      <c r="K641" s="1" cm="1">
        <f t="array" ref="K641">SUMPRODUCT(("SUP_WODBIOCCS"=[1]OUT_SyntheticFuels!$C$4:$C$1000)*1,("LTH"=[1]OUT_SyntheticFuels!$A$4:$A$1000)*1,("Var_Fout"=[1]OUT_SyntheticFuels!$B$4:$B$1000)*1,[1]OUT_SyntheticFuels!J$4:J$1000)</f>
        <v>5.1828099463357362E-2</v>
      </c>
    </row>
    <row r="642" spans="2:11" x14ac:dyDescent="0.35">
      <c r="B642" s="5" t="str">
        <f t="shared" si="383"/>
        <v>SPS3</v>
      </c>
      <c r="C642" s="5" t="s">
        <v>7</v>
      </c>
      <c r="D642" s="2" t="s">
        <v>387</v>
      </c>
      <c r="E642" s="9" t="s">
        <v>8</v>
      </c>
      <c r="F642" s="3">
        <f>F643+F644+F649</f>
        <v>13.477517902579276</v>
      </c>
      <c r="G642" s="3">
        <f t="shared" ref="G642" si="400">G643+G644+G649</f>
        <v>23.26678015564082</v>
      </c>
      <c r="H642" s="3">
        <f t="shared" ref="H642" si="401">H643+H644+H649</f>
        <v>22.907297116569346</v>
      </c>
      <c r="I642" s="3">
        <f t="shared" ref="I642" si="402">I643+I644+I649</f>
        <v>23.239775102826524</v>
      </c>
      <c r="J642" s="3">
        <f t="shared" ref="J642" si="403">J643+J644+J649</f>
        <v>40.511036009190839</v>
      </c>
      <c r="K642" s="3">
        <f t="shared" ref="K642" si="404">K643+K644+K649</f>
        <v>52.709098632599648</v>
      </c>
    </row>
    <row r="643" spans="2:11" x14ac:dyDescent="0.35">
      <c r="B643" s="5" t="str">
        <f t="shared" si="383"/>
        <v>SPS3</v>
      </c>
      <c r="C643" s="5" t="s">
        <v>7</v>
      </c>
      <c r="D643" t="s">
        <v>344</v>
      </c>
      <c r="E643" s="5" t="s">
        <v>8</v>
      </c>
      <c r="F643" s="1" cm="1">
        <f t="array" ref="F643">SUMPRODUCT(("SUP_MNRBIO"=[1]OUT_SyntheticFuels!$C$4:$C$1000)*1,("VAR_FIN"=[1]OUT_SyntheticFuels!$B$4:$B$1000)*1,("MNR"=[1]OUT_SyntheticFuels!$A$4:$A$1000)*1,[1]OUT_SyntheticFuels!E$4:E$1000)</f>
        <v>3.7981272755403661</v>
      </c>
      <c r="G643" s="1" cm="1">
        <f t="array" ref="G643">SUMPRODUCT(("SUP_MNRBIO"=[1]OUT_SyntheticFuels!$C$4:$C$1000)*1,("VAR_FIN"=[1]OUT_SyntheticFuels!$B$4:$B$1000)*1,("MNR"=[1]OUT_SyntheticFuels!$A$4:$A$1000)*1,[1]OUT_SyntheticFuels!F$4:F$1000)</f>
        <v>12.540463163667923</v>
      </c>
      <c r="H643" s="1" cm="1">
        <f t="array" ref="H643">SUMPRODUCT(("SUP_MNRBIO"=[1]OUT_SyntheticFuels!$C$4:$C$1000)*1,("VAR_FIN"=[1]OUT_SyntheticFuels!$B$4:$B$1000)*1,("MNR"=[1]OUT_SyntheticFuels!$A$4:$A$1000)*1,[1]OUT_SyntheticFuels!G$4:G$1000)</f>
        <v>12.540462853242218</v>
      </c>
      <c r="I643" s="1" cm="1">
        <f t="array" ref="I643">SUMPRODUCT(("SUP_MNRBIO"=[1]OUT_SyntheticFuels!$C$4:$C$1000)*1,("VAR_FIN"=[1]OUT_SyntheticFuels!$B$4:$B$1000)*1,("MNR"=[1]OUT_SyntheticFuels!$A$4:$A$1000)*1,[1]OUT_SyntheticFuels!H$4:H$1000)</f>
        <v>12.540446232075002</v>
      </c>
      <c r="J643" s="1" cm="1">
        <f t="array" ref="J643">SUMPRODUCT(("SUP_MNRBIO"=[1]OUT_SyntheticFuels!$C$4:$C$1000)*1,("VAR_FIN"=[1]OUT_SyntheticFuels!$B$4:$B$1000)*1,("MNR"=[1]OUT_SyntheticFuels!$A$4:$A$1000)*1,[1]OUT_SyntheticFuels!I$4:I$1000)</f>
        <v>17.360317016608803</v>
      </c>
      <c r="K643" s="1" cm="1">
        <f t="array" ref="K643">SUMPRODUCT(("SUP_MNRBIO"=[1]OUT_SyntheticFuels!$C$4:$C$1000)*1,("VAR_FIN"=[1]OUT_SyntheticFuels!$B$4:$B$1000)*1,("MNR"=[1]OUT_SyntheticFuels!$A$4:$A$1000)*1,[1]OUT_SyntheticFuels!J$4:J$1000)</f>
        <v>27.000022953618949</v>
      </c>
    </row>
    <row r="644" spans="2:11" x14ac:dyDescent="0.35">
      <c r="B644" s="5" t="str">
        <f t="shared" si="383"/>
        <v>SPS3</v>
      </c>
      <c r="C644" s="5" t="s">
        <v>7</v>
      </c>
      <c r="D644" t="s">
        <v>914</v>
      </c>
      <c r="E644" s="5" t="s">
        <v>8</v>
      </c>
      <c r="F644" s="1">
        <f>SUM(F645:F648)</f>
        <v>9.6793906270389094</v>
      </c>
      <c r="G644" s="1">
        <f t="shared" ref="G644" si="405">SUM(G645:G648)</f>
        <v>10.726210524024664</v>
      </c>
      <c r="H644" s="1">
        <f t="shared" ref="H644" si="406">SUM(H645:H648)</f>
        <v>10.366549466914821</v>
      </c>
      <c r="I644" s="1">
        <f t="shared" ref="I644" si="407">SUM(I645:I648)</f>
        <v>10.692727522716694</v>
      </c>
      <c r="J644" s="1">
        <f t="shared" ref="J644" si="408">SUM(J645:J648)</f>
        <v>14.601826040843692</v>
      </c>
      <c r="K644" s="1">
        <f t="shared" ref="K644" si="409">SUM(K645:K648)</f>
        <v>17.096662545424657</v>
      </c>
    </row>
    <row r="645" spans="2:11" x14ac:dyDescent="0.35">
      <c r="B645" s="5" t="str">
        <f t="shared" si="383"/>
        <v>SPS3</v>
      </c>
      <c r="C645" s="5" t="s">
        <v>7</v>
      </c>
      <c r="D645" t="s">
        <v>345</v>
      </c>
      <c r="E645" s="5" t="s">
        <v>8</v>
      </c>
      <c r="F645" s="1" cm="1">
        <f t="array" ref="F645">SUMPRODUCT(("SUP_WSTBIO"=[1]OUT_SyntheticFuels!$C$4:$C$1000)*1,("CWST"=[1]OUT_SyntheticFuels!$A$4:$A$1000)*1,("VAR_FIN"=[1]OUT_SyntheticFuels!$B$4:$B$1000)*1,[1]OUT_SyntheticFuels!E$4:E$1000)</f>
        <v>9.6793906270389094</v>
      </c>
      <c r="G645" s="1" cm="1">
        <f t="array" ref="G645">SUMPRODUCT(("SUP_WSTBIO"=[1]OUT_SyntheticFuels!$C$4:$C$1000)*1,("CWST"=[1]OUT_SyntheticFuels!$A$4:$A$1000)*1,("VAR_FIN"=[1]OUT_SyntheticFuels!$B$4:$B$1000)*1,[1]OUT_SyntheticFuels!F$4:F$1000)</f>
        <v>10.726210524024664</v>
      </c>
      <c r="H645" s="1" cm="1">
        <f t="array" ref="H645">SUMPRODUCT(("SUP_WSTBIO"=[1]OUT_SyntheticFuels!$C$4:$C$1000)*1,("CWST"=[1]OUT_SyntheticFuels!$A$4:$A$1000)*1,("VAR_FIN"=[1]OUT_SyntheticFuels!$B$4:$B$1000)*1,[1]OUT_SyntheticFuels!G$4:G$1000)</f>
        <v>10.366549466914821</v>
      </c>
      <c r="I645" s="1" cm="1">
        <f t="array" ref="I645">SUMPRODUCT(("SUP_WSTBIO"=[1]OUT_SyntheticFuels!$C$4:$C$1000)*1,("CWST"=[1]OUT_SyntheticFuels!$A$4:$A$1000)*1,("VAR_FIN"=[1]OUT_SyntheticFuels!$B$4:$B$1000)*1,[1]OUT_SyntheticFuels!H$4:H$1000)</f>
        <v>10.692727522716694</v>
      </c>
      <c r="J645" s="1" cm="1">
        <f t="array" ref="J645">SUMPRODUCT(("SUP_WSTBIO"=[1]OUT_SyntheticFuels!$C$4:$C$1000)*1,("CWST"=[1]OUT_SyntheticFuels!$A$4:$A$1000)*1,("VAR_FIN"=[1]OUT_SyntheticFuels!$B$4:$B$1000)*1,[1]OUT_SyntheticFuels!I$4:I$1000)</f>
        <v>0.1446238372829953</v>
      </c>
      <c r="K645" s="1" cm="1">
        <f t="array" ref="K645">SUMPRODUCT(("SUP_WSTBIO"=[1]OUT_SyntheticFuels!$C$4:$C$1000)*1,("CWST"=[1]OUT_SyntheticFuels!$A$4:$A$1000)*1,("VAR_FIN"=[1]OUT_SyntheticFuels!$B$4:$B$1000)*1,[1]OUT_SyntheticFuels!J$4:J$1000)</f>
        <v>2.8925631042369266E-4</v>
      </c>
    </row>
    <row r="646" spans="2:11" x14ac:dyDescent="0.35">
      <c r="B646" s="5" t="str">
        <f t="shared" si="383"/>
        <v>SPS3</v>
      </c>
      <c r="C646" s="5" t="s">
        <v>7</v>
      </c>
      <c r="D646" t="s">
        <v>346</v>
      </c>
      <c r="E646" s="5" t="s">
        <v>8</v>
      </c>
      <c r="F646" s="1" cm="1">
        <f t="array" ref="F646">SUMPRODUCT(("SUP_WSTBIOCCS"=[1]OUT_SyntheticFuels!$C$4:$C$1000)*1,("CWST"=[1]OUT_SyntheticFuels!$A$4:$A$1000)*1,("VAR_FIN"=[1]OUT_SyntheticFuels!$B$4:$B$1000)*1,[1]OUT_SyntheticFuels!E$4:E$1000)</f>
        <v>0</v>
      </c>
      <c r="G646" s="1" cm="1">
        <f t="array" ref="G646">SUMPRODUCT(("SUP_WSTBIOCCS"=[1]OUT_SyntheticFuels!$C$4:$C$1000)*1,("CWST"=[1]OUT_SyntheticFuels!$A$4:$A$1000)*1,("VAR_FIN"=[1]OUT_SyntheticFuels!$B$4:$B$1000)*1,[1]OUT_SyntheticFuels!F$4:F$1000)</f>
        <v>0</v>
      </c>
      <c r="H646" s="1" cm="1">
        <f t="array" ref="H646">SUMPRODUCT(("SUP_WSTBIOCCS"=[1]OUT_SyntheticFuels!$C$4:$C$1000)*1,("CWST"=[1]OUT_SyntheticFuels!$A$4:$A$1000)*1,("VAR_FIN"=[1]OUT_SyntheticFuels!$B$4:$B$1000)*1,[1]OUT_SyntheticFuels!G$4:G$1000)</f>
        <v>0</v>
      </c>
      <c r="I646" s="1" cm="1">
        <f t="array" ref="I646">SUMPRODUCT(("SUP_WSTBIOCCS"=[1]OUT_SyntheticFuels!$C$4:$C$1000)*1,("CWST"=[1]OUT_SyntheticFuels!$A$4:$A$1000)*1,("VAR_FIN"=[1]OUT_SyntheticFuels!$B$4:$B$1000)*1,[1]OUT_SyntheticFuels!H$4:H$1000)</f>
        <v>0</v>
      </c>
      <c r="J646" s="1" cm="1">
        <f t="array" ref="J646">SUMPRODUCT(("SUP_WSTBIOCCS"=[1]OUT_SyntheticFuels!$C$4:$C$1000)*1,("CWST"=[1]OUT_SyntheticFuels!$A$4:$A$1000)*1,("VAR_FIN"=[1]OUT_SyntheticFuels!$B$4:$B$1000)*1,[1]OUT_SyntheticFuels!I$4:I$1000)</f>
        <v>0</v>
      </c>
      <c r="K646" s="1" cm="1">
        <f t="array" ref="K646">SUMPRODUCT(("SUP_WSTBIOCCS"=[1]OUT_SyntheticFuels!$C$4:$C$1000)*1,("CWST"=[1]OUT_SyntheticFuels!$A$4:$A$1000)*1,("VAR_FIN"=[1]OUT_SyntheticFuels!$B$4:$B$1000)*1,[1]OUT_SyntheticFuels!J$4:J$1000)</f>
        <v>0</v>
      </c>
    </row>
    <row r="647" spans="2:11" x14ac:dyDescent="0.35">
      <c r="B647" s="5" t="str">
        <f t="shared" si="383"/>
        <v>SPS3</v>
      </c>
      <c r="C647" s="5" t="s">
        <v>7</v>
      </c>
      <c r="D647" t="s">
        <v>347</v>
      </c>
      <c r="E647" s="5" t="s">
        <v>8</v>
      </c>
      <c r="F647" s="1" cm="1">
        <f t="array" ref="F647">SUMPRODUCT(("SUP_WSTHTGBIO"=[1]OUT_SyntheticFuels!$C$4:$C$1000)*1,("CWST"=[1]OUT_SyntheticFuels!$A$4:$A$1000)*1,("VAR_FIN"=[1]OUT_SyntheticFuels!$B$4:$B$1000)*1,[1]OUT_SyntheticFuels!E$4:E$1000)</f>
        <v>0</v>
      </c>
      <c r="G647" s="1" cm="1">
        <f t="array" ref="G647">SUMPRODUCT(("SUP_WSTHTGBIO"=[1]OUT_SyntheticFuels!$C$4:$C$1000)*1,("CWST"=[1]OUT_SyntheticFuels!$A$4:$A$1000)*1,("VAR_FIN"=[1]OUT_SyntheticFuels!$B$4:$B$1000)*1,[1]OUT_SyntheticFuels!F$4:F$1000)</f>
        <v>0</v>
      </c>
      <c r="H647" s="1" cm="1">
        <f t="array" ref="H647">SUMPRODUCT(("SUP_WSTHTGBIO"=[1]OUT_SyntheticFuels!$C$4:$C$1000)*1,("CWST"=[1]OUT_SyntheticFuels!$A$4:$A$1000)*1,("VAR_FIN"=[1]OUT_SyntheticFuels!$B$4:$B$1000)*1,[1]OUT_SyntheticFuels!G$4:G$1000)</f>
        <v>0</v>
      </c>
      <c r="I647" s="1" cm="1">
        <f t="array" ref="I647">SUMPRODUCT(("SUP_WSTHTGBIO"=[1]OUT_SyntheticFuels!$C$4:$C$1000)*1,("CWST"=[1]OUT_SyntheticFuels!$A$4:$A$1000)*1,("VAR_FIN"=[1]OUT_SyntheticFuels!$B$4:$B$1000)*1,[1]OUT_SyntheticFuels!H$4:H$1000)</f>
        <v>0</v>
      </c>
      <c r="J647" s="1" cm="1">
        <f t="array" ref="J647">SUMPRODUCT(("SUP_WSTHTGBIO"=[1]OUT_SyntheticFuels!$C$4:$C$1000)*1,("CWST"=[1]OUT_SyntheticFuels!$A$4:$A$1000)*1,("VAR_FIN"=[1]OUT_SyntheticFuels!$B$4:$B$1000)*1,[1]OUT_SyntheticFuels!I$4:I$1000)</f>
        <v>14.457051832599998</v>
      </c>
      <c r="K647" s="1" cm="1">
        <f t="array" ref="K647">SUMPRODUCT(("SUP_WSTHTGBIO"=[1]OUT_SyntheticFuels!$C$4:$C$1000)*1,("CWST"=[1]OUT_SyntheticFuels!$A$4:$A$1000)*1,("VAR_FIN"=[1]OUT_SyntheticFuels!$B$4:$B$1000)*1,[1]OUT_SyntheticFuels!J$4:J$1000)</f>
        <v>16.927203775423891</v>
      </c>
    </row>
    <row r="648" spans="2:11" x14ac:dyDescent="0.35">
      <c r="B648" s="5" t="str">
        <f t="shared" si="383"/>
        <v>SPS3</v>
      </c>
      <c r="C648" s="5" t="s">
        <v>7</v>
      </c>
      <c r="D648" t="s">
        <v>348</v>
      </c>
      <c r="E648" s="5" t="s">
        <v>8</v>
      </c>
      <c r="F648" s="1" cm="1">
        <f t="array" ref="F648">SUMPRODUCT(("SUP_WSTHTGBIOCCS"=[1]OUT_SyntheticFuels!$C$4:$C$1000)*1,("CWST"=[1]OUT_SyntheticFuels!$A$4:$A$1000)*1,("VAR_FIN"=[1]OUT_SyntheticFuels!$B$4:$B$1000)*1,[1]OUT_SyntheticFuels!E$4:E$1000)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SUMPRODUCT(("SUP_WSTHTGBIOCCS"=[1]OUT_SyntheticFuels!$C$4:$C$1000)*1,("CWST"=[1]OUT_SyntheticFuels!$A$4:$A$1000)*1,("VAR_FIN"=[1]OUT_SyntheticFuels!$B$4:$B$1000)*1,[1]OUT_SyntheticFuels!F$4:F$1000)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SUMPRODUCT(("SUP_WSTHTGBIOCCS"=[1]OUT_SyntheticFuels!$C$4:$C$1000)*1,("CWST"=[1]OUT_SyntheticFuels!$A$4:$A$1000)*1,("VAR_FIN"=[1]OUT_SyntheticFuels!$B$4:$B$1000)*1,[1]OUT_SyntheticFuels!G$4:G$1000)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SUMPRODUCT(("SUP_WSTHTGBIOCCS"=[1]OUT_SyntheticFuels!$C$4:$C$1000)*1,("CWST"=[1]OUT_SyntheticFuels!$A$4:$A$1000)*1,("VAR_FIN"=[1]OUT_SyntheticFuels!$B$4:$B$1000)*1,[1]OUT_SyntheticFuels!H$4:H$1000)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SUMPRODUCT(("SUP_WSTHTGBIOCCS"=[1]OUT_SyntheticFuels!$C$4:$C$1000)*1,("CWST"=[1]OUT_SyntheticFuels!$A$4:$A$1000)*1,("VAR_FIN"=[1]OUT_SyntheticFuels!$B$4:$B$1000)*1,[1]OUT_SyntheticFuels!I$4:I$1000)</f>
        <v>1.5037096069906025E-4</v>
      </c>
      <c r="K648" s="1" cm="1">
        <f t="array" ref="K648">SUMPRODUCT(("SUP_WSTHTGBIOCCS"=[1]OUT_SyntheticFuels!$C$4:$C$1000)*1,("CWST"=[1]OUT_SyntheticFuels!$A$4:$A$1000)*1,("VAR_FIN"=[1]OUT_SyntheticFuels!$B$4:$B$1000)*1,[1]OUT_SyntheticFuels!J$4:J$1000)</f>
        <v>0.16916951369034075</v>
      </c>
    </row>
    <row r="649" spans="2:11" x14ac:dyDescent="0.35">
      <c r="B649" s="5" t="str">
        <f t="shared" si="383"/>
        <v>SPS3</v>
      </c>
      <c r="C649" s="5" t="s">
        <v>7</v>
      </c>
      <c r="D649" t="s">
        <v>915</v>
      </c>
      <c r="E649" s="5" t="s">
        <v>8</v>
      </c>
      <c r="F649" s="1">
        <f>SUM(F650:F651)</f>
        <v>0</v>
      </c>
      <c r="G649" s="1">
        <f t="shared" ref="G649" si="410">SUM(G650:G651)</f>
        <v>1.0646794823078336E-4</v>
      </c>
      <c r="H649" s="1">
        <f t="shared" ref="H649" si="411">SUM(H650:H651)</f>
        <v>2.8479641231052961E-4</v>
      </c>
      <c r="I649" s="1">
        <f t="shared" ref="I649" si="412">SUM(I650:I651)</f>
        <v>6.601348034826043E-3</v>
      </c>
      <c r="J649" s="1">
        <f t="shared" ref="J649" si="413">SUM(J650:J651)</f>
        <v>8.5488929517383472</v>
      </c>
      <c r="K649" s="1">
        <f t="shared" ref="K649" si="414">SUM(K650:K651)</f>
        <v>8.6124131335560499</v>
      </c>
    </row>
    <row r="650" spans="2:11" x14ac:dyDescent="0.35">
      <c r="B650" s="5" t="str">
        <f t="shared" si="383"/>
        <v>SPS3</v>
      </c>
      <c r="C650" s="5" t="s">
        <v>7</v>
      </c>
      <c r="D650" t="s">
        <v>349</v>
      </c>
      <c r="E650" s="5" t="s">
        <v>8</v>
      </c>
      <c r="F650" s="1" cm="1">
        <f t="array" ref="F650">SUMPRODUCT(("SUP_WODBIO"=[1]OUT_SyntheticFuels!$C$4:$C$1000)*1,("CWOD"=[1]OUT_SyntheticFuels!$A$4:$A$1000)*1,("VAR_FIN"=[1]OUT_SyntheticFuels!$B$4:$B$1000)*1,[1]OUT_SyntheticFuels!E$4:E$1000)</f>
        <v>0</v>
      </c>
      <c r="G650" s="1" cm="1">
        <f t="array" ref="G650">SUMPRODUCT(("SUP_WODBIO"=[1]OUT_SyntheticFuels!$C$4:$C$1000)*1,("CWOD"=[1]OUT_SyntheticFuels!$A$4:$A$1000)*1,("VAR_FIN"=[1]OUT_SyntheticFuels!$B$4:$B$1000)*1,[1]OUT_SyntheticFuels!F$4:F$1000)</f>
        <v>1.0646794823078336E-4</v>
      </c>
      <c r="H650" s="1" cm="1">
        <f t="array" ref="H650">SUMPRODUCT(("SUP_WODBIO"=[1]OUT_SyntheticFuels!$C$4:$C$1000)*1,("CWOD"=[1]OUT_SyntheticFuels!$A$4:$A$1000)*1,("VAR_FIN"=[1]OUT_SyntheticFuels!$B$4:$B$1000)*1,[1]OUT_SyntheticFuels!G$4:G$1000)</f>
        <v>2.8479641231052961E-4</v>
      </c>
      <c r="I650" s="1" cm="1">
        <f t="array" ref="I650">SUMPRODUCT(("SUP_WODBIO"=[1]OUT_SyntheticFuels!$C$4:$C$1000)*1,("CWOD"=[1]OUT_SyntheticFuels!$A$4:$A$1000)*1,("VAR_FIN"=[1]OUT_SyntheticFuels!$B$4:$B$1000)*1,[1]OUT_SyntheticFuels!H$4:H$1000)</f>
        <v>6.601348034826043E-3</v>
      </c>
      <c r="J650" s="1" cm="1">
        <f t="array" ref="J650">SUMPRODUCT(("SUP_WODBIO"=[1]OUT_SyntheticFuels!$C$4:$C$1000)*1,("CWOD"=[1]OUT_SyntheticFuels!$A$4:$A$1000)*1,("VAR_FIN"=[1]OUT_SyntheticFuels!$B$4:$B$1000)*1,[1]OUT_SyntheticFuels!I$4:I$1000)</f>
        <v>8.548497299307142</v>
      </c>
      <c r="K650" s="1" cm="1">
        <f t="array" ref="K650">SUMPRODUCT(("SUP_WODBIO"=[1]OUT_SyntheticFuels!$C$4:$C$1000)*1,("CWOD"=[1]OUT_SyntheticFuels!$A$4:$A$1000)*1,("VAR_FIN"=[1]OUT_SyntheticFuels!$B$4:$B$1000)*1,[1]OUT_SyntheticFuels!J$4:J$1000)</f>
        <v>7.9657690429324717</v>
      </c>
    </row>
    <row r="651" spans="2:11" x14ac:dyDescent="0.35">
      <c r="B651" s="5" t="str">
        <f t="shared" si="383"/>
        <v>SPS3</v>
      </c>
      <c r="C651" s="5" t="s">
        <v>7</v>
      </c>
      <c r="D651" t="s">
        <v>350</v>
      </c>
      <c r="E651" s="5" t="s">
        <v>8</v>
      </c>
      <c r="F651" s="1" cm="1">
        <f t="array" ref="F651">SUMPRODUCT(("SUP_WODBIOCCS"=[1]OUT_SyntheticFuels!$C$4:$C$1000)*1,("CWOD"=[1]OUT_SyntheticFuels!$A$4:$A$1000)*1,("VAR_FIN"=[1]OUT_SyntheticFuels!$B$4:$B$1000)*1,[1]OUT_SyntheticFuels!E$4:E$1000)</f>
        <v>0</v>
      </c>
      <c r="G651" s="1" cm="1">
        <f t="array" ref="G651">SUMPRODUCT(("SUP_WODBIOCCS"=[1]OUT_SyntheticFuels!$C$4:$C$1000)*1,("CWOD"=[1]OUT_SyntheticFuels!$A$4:$A$1000)*1,("VAR_FIN"=[1]OUT_SyntheticFuels!$B$4:$B$1000)*1,[1]OUT_SyntheticFuels!F$4:F$1000)</f>
        <v>0</v>
      </c>
      <c r="H651" s="1" cm="1">
        <f t="array" ref="H651">SUMPRODUCT(("SUP_WODBIOCCS"=[1]OUT_SyntheticFuels!$C$4:$C$1000)*1,("CWOD"=[1]OUT_SyntheticFuels!$A$4:$A$1000)*1,("VAR_FIN"=[1]OUT_SyntheticFuels!$B$4:$B$1000)*1,[1]OUT_SyntheticFuels!G$4:G$1000)</f>
        <v>0</v>
      </c>
      <c r="I651" s="1" cm="1">
        <f t="array" ref="I651">SUMPRODUCT(("SUP_WODBIOCCS"=[1]OUT_SyntheticFuels!$C$4:$C$1000)*1,("CWOD"=[1]OUT_SyntheticFuels!$A$4:$A$1000)*1,("VAR_FIN"=[1]OUT_SyntheticFuels!$B$4:$B$1000)*1,[1]OUT_SyntheticFuels!H$4:H$1000)</f>
        <v>0</v>
      </c>
      <c r="J651" s="1" cm="1">
        <f t="array" ref="J651">SUMPRODUCT(("SUP_WODBIOCCS"=[1]OUT_SyntheticFuels!$C$4:$C$1000)*1,("CWOD"=[1]OUT_SyntheticFuels!$A$4:$A$1000)*1,("VAR_FIN"=[1]OUT_SyntheticFuels!$B$4:$B$1000)*1,[1]OUT_SyntheticFuels!I$4:I$1000)</f>
        <v>3.9565243120532202E-4</v>
      </c>
      <c r="K651" s="1" cm="1">
        <f t="array" ref="K651">SUMPRODUCT(("SUP_WODBIOCCS"=[1]OUT_SyntheticFuels!$C$4:$C$1000)*1,("CWOD"=[1]OUT_SyntheticFuels!$A$4:$A$1000)*1,("VAR_FIN"=[1]OUT_SyntheticFuels!$B$4:$B$1000)*1,[1]OUT_SyntheticFuels!J$4:J$1000)</f>
        <v>0.64664409062357786</v>
      </c>
    </row>
    <row r="652" spans="2:11" x14ac:dyDescent="0.35">
      <c r="B652" s="5" t="str">
        <f t="shared" si="383"/>
        <v>SPS3</v>
      </c>
      <c r="C652" s="5" t="s">
        <v>7</v>
      </c>
      <c r="D652" s="2" t="s">
        <v>388</v>
      </c>
      <c r="E652" s="9" t="s">
        <v>8</v>
      </c>
      <c r="F652" s="14" t="s">
        <v>292</v>
      </c>
      <c r="G652" s="14" t="s">
        <v>292</v>
      </c>
      <c r="H652" s="14" t="s">
        <v>292</v>
      </c>
      <c r="I652" s="14" t="s">
        <v>292</v>
      </c>
      <c r="J652" s="14" t="s">
        <v>292</v>
      </c>
      <c r="K652" s="14" t="s">
        <v>292</v>
      </c>
    </row>
    <row r="653" spans="2:11" x14ac:dyDescent="0.35">
      <c r="B653" s="5" t="str">
        <f t="shared" si="383"/>
        <v>SPS3</v>
      </c>
      <c r="C653" s="5" t="s">
        <v>7</v>
      </c>
      <c r="D653" t="s">
        <v>351</v>
      </c>
      <c r="E653" s="5" t="s">
        <v>8</v>
      </c>
      <c r="F653" s="4">
        <f t="shared" ref="F653:K653" si="415">IFERROR(SUM(F633,F623,F613)/F643,"-")</f>
        <v>0.34965034965035063</v>
      </c>
      <c r="G653" s="4">
        <f t="shared" si="415"/>
        <v>0.34965034965035013</v>
      </c>
      <c r="H653" s="4">
        <f t="shared" si="415"/>
        <v>0.34965034965035008</v>
      </c>
      <c r="I653" s="4">
        <f t="shared" si="415"/>
        <v>0.34965034965035002</v>
      </c>
      <c r="J653" s="4">
        <f t="shared" si="415"/>
        <v>0.3496503496503498</v>
      </c>
      <c r="K653" s="4">
        <f t="shared" si="415"/>
        <v>0.34965034965034991</v>
      </c>
    </row>
    <row r="654" spans="2:11" x14ac:dyDescent="0.35">
      <c r="B654" s="5" t="str">
        <f t="shared" si="383"/>
        <v>SPS3</v>
      </c>
      <c r="C654" s="5" t="s">
        <v>7</v>
      </c>
      <c r="D654" t="s">
        <v>352</v>
      </c>
      <c r="E654" s="5" t="s">
        <v>8</v>
      </c>
      <c r="F654" s="4">
        <f t="shared" ref="F654:K657" si="416">IFERROR(SUM(F635,F625,F615)/F645,"-")</f>
        <v>0.59322033898305071</v>
      </c>
      <c r="G654" s="4">
        <f t="shared" si="416"/>
        <v>0.59322033898305138</v>
      </c>
      <c r="H654" s="4">
        <f t="shared" si="416"/>
        <v>0.5932203389830516</v>
      </c>
      <c r="I654" s="4">
        <f t="shared" si="416"/>
        <v>0.59322033898305082</v>
      </c>
      <c r="J654" s="4">
        <f t="shared" si="416"/>
        <v>0.59322033898305149</v>
      </c>
      <c r="K654" s="4">
        <f t="shared" si="416"/>
        <v>0.59171933217627992</v>
      </c>
    </row>
    <row r="655" spans="2:11" x14ac:dyDescent="0.35">
      <c r="B655" s="5" t="str">
        <f t="shared" si="383"/>
        <v>SPS3</v>
      </c>
      <c r="C655" s="5" t="s">
        <v>7</v>
      </c>
      <c r="D655" t="s">
        <v>353</v>
      </c>
      <c r="E655" s="5" t="s">
        <v>8</v>
      </c>
      <c r="F655" s="4" t="str">
        <f t="shared" si="416"/>
        <v>-</v>
      </c>
      <c r="G655" s="4" t="str">
        <f t="shared" si="416"/>
        <v>-</v>
      </c>
      <c r="H655" s="4" t="str">
        <f t="shared" si="416"/>
        <v>-</v>
      </c>
      <c r="I655" s="4" t="str">
        <f t="shared" si="416"/>
        <v>-</v>
      </c>
      <c r="J655" s="4" t="str">
        <f t="shared" si="416"/>
        <v>-</v>
      </c>
      <c r="K655" s="4" t="str">
        <f t="shared" si="416"/>
        <v>-</v>
      </c>
    </row>
    <row r="656" spans="2:11" x14ac:dyDescent="0.35">
      <c r="B656" s="5" t="str">
        <f t="shared" si="383"/>
        <v>SPS3</v>
      </c>
      <c r="C656" s="5" t="s">
        <v>7</v>
      </c>
      <c r="D656" t="s">
        <v>354</v>
      </c>
      <c r="E656" s="5" t="s">
        <v>8</v>
      </c>
      <c r="F656" s="4" t="str">
        <f t="shared" si="416"/>
        <v>-</v>
      </c>
      <c r="G656" s="4" t="str">
        <f t="shared" si="416"/>
        <v>-</v>
      </c>
      <c r="H656" s="4" t="str">
        <f t="shared" si="416"/>
        <v>-</v>
      </c>
      <c r="I656" s="4" t="str">
        <f t="shared" si="416"/>
        <v>-</v>
      </c>
      <c r="J656" s="4">
        <f t="shared" si="416"/>
        <v>0.69999999999999962</v>
      </c>
      <c r="K656" s="4">
        <f t="shared" si="416"/>
        <v>0.69999999999999984</v>
      </c>
    </row>
    <row r="657" spans="2:11" x14ac:dyDescent="0.35">
      <c r="B657" s="5" t="str">
        <f t="shared" si="383"/>
        <v>SPS3</v>
      </c>
      <c r="C657" s="5" t="s">
        <v>7</v>
      </c>
      <c r="D657" t="s">
        <v>355</v>
      </c>
      <c r="E657" s="5" t="s">
        <v>8</v>
      </c>
      <c r="F657" s="4" t="str">
        <f t="shared" si="416"/>
        <v>-</v>
      </c>
      <c r="G657" s="4" t="str">
        <f t="shared" si="416"/>
        <v>-</v>
      </c>
      <c r="H657" s="4" t="str">
        <f t="shared" si="416"/>
        <v>-</v>
      </c>
      <c r="I657" s="4" t="str">
        <f t="shared" si="416"/>
        <v>-</v>
      </c>
      <c r="J657" s="4">
        <f t="shared" si="416"/>
        <v>0.62999999999999989</v>
      </c>
      <c r="K657" s="4">
        <f t="shared" si="416"/>
        <v>0.62999999999999934</v>
      </c>
    </row>
    <row r="658" spans="2:11" x14ac:dyDescent="0.35">
      <c r="B658" s="5" t="str">
        <f t="shared" si="383"/>
        <v>SPS3</v>
      </c>
      <c r="C658" s="5" t="s">
        <v>7</v>
      </c>
      <c r="D658" t="s">
        <v>356</v>
      </c>
      <c r="E658" s="5" t="s">
        <v>8</v>
      </c>
      <c r="F658" s="4" t="str">
        <f t="shared" ref="F658:K659" si="417">IFERROR(SUM(F640,F630,F620)/F650,"-")</f>
        <v>-</v>
      </c>
      <c r="G658" s="4">
        <f t="shared" si="417"/>
        <v>0.85925925925925872</v>
      </c>
      <c r="H658" s="4">
        <f t="shared" si="417"/>
        <v>0.85925925925925861</v>
      </c>
      <c r="I658" s="4">
        <f t="shared" si="417"/>
        <v>0.85925925925925817</v>
      </c>
      <c r="J658" s="4">
        <f t="shared" si="417"/>
        <v>0.85925925925925906</v>
      </c>
      <c r="K658" s="4">
        <f t="shared" si="417"/>
        <v>0.85925925925925861</v>
      </c>
    </row>
    <row r="659" spans="2:11" x14ac:dyDescent="0.35">
      <c r="B659" s="5" t="str">
        <f t="shared" si="383"/>
        <v>SPS3</v>
      </c>
      <c r="C659" s="5" t="s">
        <v>7</v>
      </c>
      <c r="D659" t="s">
        <v>357</v>
      </c>
      <c r="E659" s="5" t="s">
        <v>8</v>
      </c>
      <c r="F659" s="4" t="str">
        <f t="shared" si="417"/>
        <v>-</v>
      </c>
      <c r="G659" s="4" t="str">
        <f t="shared" si="417"/>
        <v>-</v>
      </c>
      <c r="H659" s="4" t="str">
        <f t="shared" si="417"/>
        <v>-</v>
      </c>
      <c r="I659" s="4" t="str">
        <f t="shared" si="417"/>
        <v>-</v>
      </c>
      <c r="J659" s="4">
        <f t="shared" si="417"/>
        <v>0.80467169427555818</v>
      </c>
      <c r="K659" s="4">
        <f t="shared" si="417"/>
        <v>0.77475289976522099</v>
      </c>
    </row>
    <row r="660" spans="2:11" x14ac:dyDescent="0.35">
      <c r="B660" s="9" t="str">
        <f t="shared" si="383"/>
        <v>SPS3</v>
      </c>
      <c r="C660" s="9" t="s">
        <v>7</v>
      </c>
      <c r="D660" s="2" t="s">
        <v>390</v>
      </c>
      <c r="E660" s="9" t="s">
        <v>8</v>
      </c>
      <c r="F660" s="3">
        <f>SUM(F661,F665,F674)</f>
        <v>3.7097584070791318E-3</v>
      </c>
      <c r="G660" s="3">
        <f t="shared" ref="G660:K660" si="418">SUM(G661,G665,G674)</f>
        <v>5.0745656094483751E-3</v>
      </c>
      <c r="H660" s="3">
        <f t="shared" si="418"/>
        <v>5.2327682831193158E-3</v>
      </c>
      <c r="I660" s="3">
        <f t="shared" si="418"/>
        <v>7.5739463314957326E-3</v>
      </c>
      <c r="J660" s="3">
        <f t="shared" si="418"/>
        <v>7.2433461616241175</v>
      </c>
      <c r="K660" s="3">
        <f t="shared" si="418"/>
        <v>18.937097565743422</v>
      </c>
    </row>
    <row r="661" spans="2:11" x14ac:dyDescent="0.35">
      <c r="B661" t="str">
        <f t="shared" si="383"/>
        <v>SPS3</v>
      </c>
      <c r="C661" t="str">
        <f>C660</f>
        <v>CH</v>
      </c>
      <c r="D661" t="s">
        <v>916</v>
      </c>
      <c r="E661" s="5" t="s">
        <v>8</v>
      </c>
      <c r="F661" s="1">
        <f>[1]Other_transformation!B$28</f>
        <v>3.7097584070791318E-3</v>
      </c>
      <c r="G661" s="1">
        <f>[1]Other_transformation!C$28</f>
        <v>5.0745656094483751E-3</v>
      </c>
      <c r="H661" s="1">
        <f>[1]Other_transformation!D$28</f>
        <v>5.2327682831193158E-3</v>
      </c>
      <c r="I661" s="1">
        <f>[1]Other_transformation!E$28</f>
        <v>7.5739463314957326E-3</v>
      </c>
      <c r="J661" s="1">
        <f>[1]Other_transformation!F$28</f>
        <v>7.2433461616241175</v>
      </c>
      <c r="K661" s="1">
        <f>[1]Other_transformation!G$28</f>
        <v>14.076914209734325</v>
      </c>
    </row>
    <row r="662" spans="2:11" x14ac:dyDescent="0.35">
      <c r="B662" t="str">
        <f t="shared" si="383"/>
        <v>SPS3</v>
      </c>
      <c r="C662" t="str">
        <f t="shared" ref="C662:C673" si="419">C661</f>
        <v>CH</v>
      </c>
      <c r="D662" t="s">
        <v>403</v>
      </c>
      <c r="E662" s="5" t="s">
        <v>8</v>
      </c>
      <c r="F662" s="1" cm="1">
        <f t="array" ref="F662">SUMPRODUCT(("SUP_ELCH2"=[1]OUT_SyntheticFuels!$C$4:$C$1000)*1,ISNUMBER(SEARCH("h2",[1]OUT_SyntheticFuels!$A$4:$A$1000))*1,("Var_Fout"=[1]OUT_SyntheticFuels!$B$4:$B$1000)*1,[1]OUT_SyntheticFuels!E$4:E$1000)</f>
        <v>3.7097584070791318E-3</v>
      </c>
      <c r="G662" s="1" cm="1">
        <f t="array" ref="G662">SUMPRODUCT(("SUP_ELCH2"=[1]OUT_SyntheticFuels!$C$4:$C$1000)*1,ISNUMBER(SEARCH("h2",[1]OUT_SyntheticFuels!$A$4:$A$1000))*1,("Var_Fout"=[1]OUT_SyntheticFuels!$B$4:$B$1000)*1,[1]OUT_SyntheticFuels!F$4:F$1000)</f>
        <v>5.0745656094483751E-3</v>
      </c>
      <c r="H662" s="1" cm="1">
        <f t="array" ref="H662">SUMPRODUCT(("SUP_ELCH2"=[1]OUT_SyntheticFuels!$C$4:$C$1000)*1,ISNUMBER(SEARCH("h2",[1]OUT_SyntheticFuels!$A$4:$A$1000))*1,("Var_Fout"=[1]OUT_SyntheticFuels!$B$4:$B$1000)*1,[1]OUT_SyntheticFuels!G$4:G$1000)</f>
        <v>5.2327682831193158E-3</v>
      </c>
      <c r="I662" s="1" cm="1">
        <f t="array" ref="I662">SUMPRODUCT(("SUP_ELCH2"=[1]OUT_SyntheticFuels!$C$4:$C$1000)*1,ISNUMBER(SEARCH("h2",[1]OUT_SyntheticFuels!$A$4:$A$1000))*1,("Var_Fout"=[1]OUT_SyntheticFuels!$B$4:$B$1000)*1,[1]OUT_SyntheticFuels!H$4:H$1000)</f>
        <v>7.5735209322087453E-3</v>
      </c>
      <c r="J662" s="1" cm="1">
        <f t="array" ref="J662">SUMPRODUCT(("SUP_ELCH2"=[1]OUT_SyntheticFuels!$C$4:$C$1000)*1,ISNUMBER(SEARCH("h2",[1]OUT_SyntheticFuels!$A$4:$A$1000))*1,("Var_Fout"=[1]OUT_SyntheticFuels!$B$4:$B$1000)*1,[1]OUT_SyntheticFuels!I$4:I$1000)</f>
        <v>1.5030334165561614E-4</v>
      </c>
      <c r="K662" s="1" cm="1">
        <f t="array" ref="K662">SUMPRODUCT(("SUP_ELCH2"=[1]OUT_SyntheticFuels!$C$4:$C$1000)*1,ISNUMBER(SEARCH("h2",[1]OUT_SyntheticFuels!$A$4:$A$1000))*1,("Var_Fout"=[1]OUT_SyntheticFuels!$B$4:$B$1000)*1,[1]OUT_SyntheticFuels!J$4:J$1000)</f>
        <v>0.64373937307094475</v>
      </c>
    </row>
    <row r="663" spans="2:11" x14ac:dyDescent="0.35">
      <c r="B663" t="str">
        <f t="shared" si="383"/>
        <v>SPS3</v>
      </c>
      <c r="C663" t="str">
        <f t="shared" ref="C663" si="420">C662</f>
        <v>CH</v>
      </c>
      <c r="D663" t="s">
        <v>402</v>
      </c>
      <c r="E663" s="5" t="s">
        <v>8</v>
      </c>
      <c r="F663" s="1" cm="1">
        <f t="array" ref="F663">SUMPRODUCT(("SUP_ELCH2_D"=[1]OUT_SyntheticFuels!$C$4:$C$1000)*1,ISNUMBER(SEARCH("h2",[1]OUT_SyntheticFuels!$A$4:$A$1000))*1,("Var_Fout"=[1]OUT_SyntheticFuels!$B$4:$B$1000)*1,[1]OUT_SyntheticFuels!E$4:E$1000)</f>
        <v>0</v>
      </c>
      <c r="G663" s="1" cm="1">
        <f t="array" ref="G663">SUMPRODUCT(("SUP_ELCH2_D"=[1]OUT_SyntheticFuels!$C$4:$C$1000)*1,ISNUMBER(SEARCH("h2",[1]OUT_SyntheticFuels!$A$4:$A$1000))*1,("Var_Fout"=[1]OUT_SyntheticFuels!$B$4:$B$1000)*1,[1]OUT_SyntheticFuels!F$4:F$1000)</f>
        <v>0</v>
      </c>
      <c r="H663" s="1" cm="1">
        <f t="array" ref="H663">SUMPRODUCT(("SUP_ELCH2_D"=[1]OUT_SyntheticFuels!$C$4:$C$1000)*1,ISNUMBER(SEARCH("h2",[1]OUT_SyntheticFuels!$A$4:$A$1000))*1,("Var_Fout"=[1]OUT_SyntheticFuels!$B$4:$B$1000)*1,[1]OUT_SyntheticFuels!G$4:G$1000)</f>
        <v>0</v>
      </c>
      <c r="I663" s="1" cm="1">
        <f t="array" ref="I663">SUMPRODUCT(("SUP_ELCH2_D"=[1]OUT_SyntheticFuels!$C$4:$C$1000)*1,ISNUMBER(SEARCH("h2",[1]OUT_SyntheticFuels!$A$4:$A$1000))*1,("Var_Fout"=[1]OUT_SyntheticFuels!$B$4:$B$1000)*1,[1]OUT_SyntheticFuels!H$4:H$1000)</f>
        <v>4.2539928698690836E-7</v>
      </c>
      <c r="J663" s="1" cm="1">
        <f t="array" ref="J663">SUMPRODUCT(("SUP_ELCH2_D"=[1]OUT_SyntheticFuels!$C$4:$C$1000)*1,ISNUMBER(SEARCH("h2",[1]OUT_SyntheticFuels!$A$4:$A$1000))*1,("Var_Fout"=[1]OUT_SyntheticFuels!$B$4:$B$1000)*1,[1]OUT_SyntheticFuels!I$4:I$1000)</f>
        <v>1.9047656873100217E-5</v>
      </c>
      <c r="K663" s="1" cm="1">
        <f t="array" ref="K663">SUMPRODUCT(("SUP_ELCH2_D"=[1]OUT_SyntheticFuels!$C$4:$C$1000)*1,ISNUMBER(SEARCH("h2",[1]OUT_SyntheticFuels!$A$4:$A$1000))*1,("Var_Fout"=[1]OUT_SyntheticFuels!$B$4:$B$1000)*1,[1]OUT_SyntheticFuels!J$4:J$1000)</f>
        <v>1.4116404712389676E-5</v>
      </c>
    </row>
    <row r="664" spans="2:11" x14ac:dyDescent="0.35">
      <c r="B664" t="str">
        <f t="shared" si="383"/>
        <v>SPS3</v>
      </c>
      <c r="C664" t="str">
        <f>C662</f>
        <v>CH</v>
      </c>
      <c r="D664" t="s">
        <v>391</v>
      </c>
      <c r="E664" s="5" t="s">
        <v>8</v>
      </c>
      <c r="F664" s="1" cm="1">
        <f t="array" ref="F664">SUMPRODUCT(("SUP_ELCH2_SOEC"=[1]OUT_SyntheticFuels!$C$4:$C$1000)*1,ISNUMBER(SEARCH("H2",[1]OUT_SyntheticFuels!$A$4:$A$1000))*1,("Var_Fout"=[1]OUT_SyntheticFuels!$B$4:$B$1000)*1,[1]OUT_SyntheticFuels!E$4:E$1000)</f>
        <v>0</v>
      </c>
      <c r="G664" s="1" cm="1">
        <f t="array" ref="G664">SUMPRODUCT(("SUP_ELCH2_SOEC"=[1]OUT_SyntheticFuels!$C$4:$C$1000)*1,ISNUMBER(SEARCH("H2",[1]OUT_SyntheticFuels!$A$4:$A$1000))*1,("Var_Fout"=[1]OUT_SyntheticFuels!$B$4:$B$1000)*1,[1]OUT_SyntheticFuels!F$4:F$1000)</f>
        <v>0</v>
      </c>
      <c r="H664" s="1" cm="1">
        <f t="array" ref="H664">SUMPRODUCT(("SUP_ELCH2_SOEC"=[1]OUT_SyntheticFuels!$C$4:$C$1000)*1,ISNUMBER(SEARCH("H2",[1]OUT_SyntheticFuels!$A$4:$A$1000))*1,("Var_Fout"=[1]OUT_SyntheticFuels!$B$4:$B$1000)*1,[1]OUT_SyntheticFuels!G$4:G$1000)</f>
        <v>0</v>
      </c>
      <c r="I664" s="1" cm="1">
        <f t="array" ref="I664">SUMPRODUCT(("SUP_ELCH2_SOEC"=[1]OUT_SyntheticFuels!$C$4:$C$1000)*1,ISNUMBER(SEARCH("H2",[1]OUT_SyntheticFuels!$A$4:$A$1000))*1,("Var_Fout"=[1]OUT_SyntheticFuels!$B$4:$B$1000)*1,[1]OUT_SyntheticFuels!H$4:H$1000)</f>
        <v>0</v>
      </c>
      <c r="J664" s="1" cm="1">
        <f t="array" ref="J664">SUMPRODUCT(("SUP_ELCH2_SOEC"=[1]OUT_SyntheticFuels!$C$4:$C$1000)*1,ISNUMBER(SEARCH("H2",[1]OUT_SyntheticFuels!$A$4:$A$1000))*1,("Var_Fout"=[1]OUT_SyntheticFuels!$B$4:$B$1000)*1,[1]OUT_SyntheticFuels!I$4:I$1000)</f>
        <v>7.2431768106255889</v>
      </c>
      <c r="K664" s="1" cm="1">
        <f t="array" ref="K664">SUMPRODUCT(("SUP_ELCH2_SOEC"=[1]OUT_SyntheticFuels!$C$4:$C$1000)*1,ISNUMBER(SEARCH("H2",[1]OUT_SyntheticFuels!$A$4:$A$1000))*1,("Var_Fout"=[1]OUT_SyntheticFuels!$B$4:$B$1000)*1,[1]OUT_SyntheticFuels!J$4:J$1000)</f>
        <v>13.433160720258668</v>
      </c>
    </row>
    <row r="665" spans="2:11" x14ac:dyDescent="0.35">
      <c r="B665" t="str">
        <f t="shared" si="383"/>
        <v>SPS3</v>
      </c>
      <c r="C665" t="str">
        <f t="shared" si="419"/>
        <v>CH</v>
      </c>
      <c r="D665" t="s">
        <v>917</v>
      </c>
      <c r="E665" s="5" t="s">
        <v>8</v>
      </c>
      <c r="F665" s="1">
        <f>SUM([1]Other_transformation!B$29:B$30)</f>
        <v>0</v>
      </c>
      <c r="G665" s="1">
        <f>SUM([1]Other_transformation!C$29:C$30)</f>
        <v>0</v>
      </c>
      <c r="H665" s="1">
        <f>SUM([1]Other_transformation!D$29:D$30)</f>
        <v>0</v>
      </c>
      <c r="I665" s="1">
        <f>SUM([1]Other_transformation!E$29:E$30)</f>
        <v>0</v>
      </c>
      <c r="J665" s="1">
        <f>SUM([1]Other_transformation!F$29:F$30)</f>
        <v>0</v>
      </c>
      <c r="K665" s="1">
        <f>SUM([1]Other_transformation!G$29:G$30)</f>
        <v>6.7908572118508236E-5</v>
      </c>
    </row>
    <row r="666" spans="2:11" x14ac:dyDescent="0.35">
      <c r="B666" t="str">
        <f t="shared" si="383"/>
        <v>SPS3</v>
      </c>
      <c r="C666" t="str">
        <f t="shared" si="419"/>
        <v>CH</v>
      </c>
      <c r="D666" t="s">
        <v>392</v>
      </c>
      <c r="E666" s="5" t="s">
        <v>8</v>
      </c>
      <c r="F666" s="1">
        <f>[1]Other_transformation!B$29</f>
        <v>0</v>
      </c>
      <c r="G666" s="1">
        <f>[1]Other_transformation!C$29</f>
        <v>0</v>
      </c>
      <c r="H666" s="1">
        <f>[1]Other_transformation!D$29</f>
        <v>0</v>
      </c>
      <c r="I666" s="1">
        <f>[1]Other_transformation!E$29</f>
        <v>0</v>
      </c>
      <c r="J666" s="1">
        <f>[1]Other_transformation!F$29</f>
        <v>0</v>
      </c>
      <c r="K666" s="1">
        <f>[1]Other_transformation!G$29</f>
        <v>3.1910112330657381E-5</v>
      </c>
    </row>
    <row r="667" spans="2:11" x14ac:dyDescent="0.35">
      <c r="B667" t="str">
        <f t="shared" si="383"/>
        <v>SPS3</v>
      </c>
      <c r="C667" t="str">
        <f t="shared" si="419"/>
        <v>CH</v>
      </c>
      <c r="D667" t="s">
        <v>393</v>
      </c>
      <c r="E667" s="5" t="s">
        <v>8</v>
      </c>
      <c r="F667" s="1">
        <f>[1]Other_transformation!B$30</f>
        <v>0</v>
      </c>
      <c r="G667" s="1">
        <f>[1]Other_transformation!C$30</f>
        <v>0</v>
      </c>
      <c r="H667" s="1">
        <f>[1]Other_transformation!D$30</f>
        <v>0</v>
      </c>
      <c r="I667" s="1">
        <f>[1]Other_transformation!E$30</f>
        <v>0</v>
      </c>
      <c r="J667" s="1">
        <f>[1]Other_transformation!F$30</f>
        <v>0</v>
      </c>
      <c r="K667" s="1">
        <f>[1]Other_transformation!G$30</f>
        <v>3.5998459787850856E-5</v>
      </c>
    </row>
    <row r="668" spans="2:11" x14ac:dyDescent="0.35">
      <c r="B668" t="str">
        <f t="shared" si="383"/>
        <v>SPS3</v>
      </c>
      <c r="C668" t="str">
        <f t="shared" si="419"/>
        <v>CH</v>
      </c>
      <c r="D668" t="s">
        <v>918</v>
      </c>
      <c r="E668" s="5" t="s">
        <v>8</v>
      </c>
      <c r="F668" s="1">
        <f>F665-F671</f>
        <v>0</v>
      </c>
      <c r="G668" s="1">
        <f t="shared" ref="G668:K668" si="421">G665-G671</f>
        <v>0</v>
      </c>
      <c r="H668" s="1">
        <f t="shared" si="421"/>
        <v>0</v>
      </c>
      <c r="I668" s="1">
        <f t="shared" si="421"/>
        <v>0</v>
      </c>
      <c r="J668" s="1">
        <f t="shared" si="421"/>
        <v>0</v>
      </c>
      <c r="K668" s="1">
        <f t="shared" si="421"/>
        <v>0</v>
      </c>
    </row>
    <row r="669" spans="2:11" x14ac:dyDescent="0.35">
      <c r="B669" t="str">
        <f t="shared" si="383"/>
        <v>SPS3</v>
      </c>
      <c r="C669" t="str">
        <f t="shared" si="419"/>
        <v>CH</v>
      </c>
      <c r="D669" t="s">
        <v>607</v>
      </c>
      <c r="E669" s="5" t="s">
        <v>8</v>
      </c>
      <c r="F669" s="1">
        <f t="shared" ref="F669:K669" si="422">F666-F672</f>
        <v>0</v>
      </c>
      <c r="G669" s="1">
        <f t="shared" si="422"/>
        <v>0</v>
      </c>
      <c r="H669" s="1">
        <f t="shared" si="422"/>
        <v>0</v>
      </c>
      <c r="I669" s="1">
        <f t="shared" si="422"/>
        <v>0</v>
      </c>
      <c r="J669" s="1">
        <f t="shared" si="422"/>
        <v>0</v>
      </c>
      <c r="K669" s="1">
        <f t="shared" si="422"/>
        <v>0</v>
      </c>
    </row>
    <row r="670" spans="2:11" x14ac:dyDescent="0.35">
      <c r="B670" t="str">
        <f t="shared" si="383"/>
        <v>SPS3</v>
      </c>
      <c r="C670" t="str">
        <f t="shared" si="419"/>
        <v>CH</v>
      </c>
      <c r="D670" t="s">
        <v>608</v>
      </c>
      <c r="E670" s="5" t="s">
        <v>8</v>
      </c>
      <c r="F670" s="1">
        <f t="shared" ref="F670:K670" si="423">F667-F673</f>
        <v>0</v>
      </c>
      <c r="G670" s="1">
        <f t="shared" si="423"/>
        <v>0</v>
      </c>
      <c r="H670" s="1">
        <f t="shared" si="423"/>
        <v>0</v>
      </c>
      <c r="I670" s="1">
        <f t="shared" si="423"/>
        <v>0</v>
      </c>
      <c r="J670" s="1">
        <f t="shared" si="423"/>
        <v>0</v>
      </c>
      <c r="K670" s="1">
        <f t="shared" si="423"/>
        <v>0</v>
      </c>
    </row>
    <row r="671" spans="2:11" x14ac:dyDescent="0.35">
      <c r="B671" t="str">
        <f t="shared" si="383"/>
        <v>SPS3</v>
      </c>
      <c r="C671" t="str">
        <f t="shared" si="419"/>
        <v>CH</v>
      </c>
      <c r="D671" t="s">
        <v>919</v>
      </c>
      <c r="E671" s="5" t="s">
        <v>8</v>
      </c>
      <c r="F671" s="1">
        <f>SUM(F672:F673)</f>
        <v>0</v>
      </c>
      <c r="G671" s="1">
        <f t="shared" ref="G671:K671" si="424">SUM(G672:G673)</f>
        <v>0</v>
      </c>
      <c r="H671" s="1">
        <f t="shared" si="424"/>
        <v>0</v>
      </c>
      <c r="I671" s="1">
        <f t="shared" si="424"/>
        <v>0</v>
      </c>
      <c r="J671" s="1">
        <f t="shared" si="424"/>
        <v>0</v>
      </c>
      <c r="K671" s="1">
        <f t="shared" si="424"/>
        <v>6.7908572118508236E-5</v>
      </c>
    </row>
    <row r="672" spans="2:11" x14ac:dyDescent="0.35">
      <c r="B672" t="str">
        <f t="shared" si="383"/>
        <v>SPS3</v>
      </c>
      <c r="C672" t="str">
        <f t="shared" si="419"/>
        <v>CH</v>
      </c>
      <c r="D672" t="s">
        <v>668</v>
      </c>
      <c r="E672" s="5" t="s">
        <v>8</v>
      </c>
      <c r="F672" s="1">
        <f>IFERROR([1]Energy_Balances!B$157/([1]Energy_Balances!B$157+[1]Energy_Balances!B$72),0)*F666</f>
        <v>0</v>
      </c>
      <c r="G672" s="1">
        <f>IFERROR([1]Energy_Balances!C$157/([1]Energy_Balances!C$157+[1]Energy_Balances!C$72),0)*G666</f>
        <v>0</v>
      </c>
      <c r="H672" s="1">
        <f>IFERROR([1]Energy_Balances!D$157/([1]Energy_Balances!D$157+[1]Energy_Balances!D$72),0)*H666</f>
        <v>0</v>
      </c>
      <c r="I672" s="1">
        <f>IFERROR([1]Energy_Balances!E$157/([1]Energy_Balances!E$157+[1]Energy_Balances!E$72),0)*I666</f>
        <v>0</v>
      </c>
      <c r="J672" s="1">
        <f>IFERROR([1]Energy_Balances!F$157/([1]Energy_Balances!F$157+[1]Energy_Balances!F$72),0)*J666</f>
        <v>0</v>
      </c>
      <c r="K672" s="1">
        <f>IFERROR([1]Energy_Balances!G$157/([1]Energy_Balances!G$157+[1]Energy_Balances!G$72),0)*K666</f>
        <v>3.1910112330657381E-5</v>
      </c>
    </row>
    <row r="673" spans="2:11" x14ac:dyDescent="0.35">
      <c r="B673" t="str">
        <f t="shared" si="383"/>
        <v>SPS3</v>
      </c>
      <c r="C673" t="str">
        <f t="shared" si="419"/>
        <v>CH</v>
      </c>
      <c r="D673" t="s">
        <v>669</v>
      </c>
      <c r="E673" s="5" t="s">
        <v>8</v>
      </c>
      <c r="F673" s="1">
        <f>IFERROR([1]Energy_Balances!B$157/([1]Energy_Balances!B$157+[1]Energy_Balances!B$72),0)*F667</f>
        <v>0</v>
      </c>
      <c r="G673" s="1">
        <f>IFERROR([1]Energy_Balances!C$157/([1]Energy_Balances!C$157+[1]Energy_Balances!C$72),0)*G667</f>
        <v>0</v>
      </c>
      <c r="H673" s="1">
        <f>IFERROR([1]Energy_Balances!D$157/([1]Energy_Balances!D$157+[1]Energy_Balances!D$72),0)*H667</f>
        <v>0</v>
      </c>
      <c r="I673" s="1">
        <f>IFERROR([1]Energy_Balances!E$157/([1]Energy_Balances!E$157+[1]Energy_Balances!E$72),0)*I667</f>
        <v>0</v>
      </c>
      <c r="J673" s="1">
        <f>IFERROR([1]Energy_Balances!F$157/([1]Energy_Balances!F$157+[1]Energy_Balances!F$72),0)*J667</f>
        <v>0</v>
      </c>
      <c r="K673" s="1">
        <f>IFERROR([1]Energy_Balances!G$157/([1]Energy_Balances!G$157+[1]Energy_Balances!G$72),0)*K667</f>
        <v>3.5998459787850856E-5</v>
      </c>
    </row>
    <row r="674" spans="2:11" x14ac:dyDescent="0.35">
      <c r="B674" t="str">
        <f t="shared" si="383"/>
        <v>SPS3</v>
      </c>
      <c r="C674" t="str">
        <f t="shared" ref="C674:C676" si="425">C673</f>
        <v>CH</v>
      </c>
      <c r="D674" t="s">
        <v>920</v>
      </c>
      <c r="E674" s="5" t="s">
        <v>8</v>
      </c>
      <c r="F674" s="1">
        <f>SUM(F675:F676)</f>
        <v>0</v>
      </c>
      <c r="G674" s="1">
        <f t="shared" ref="G674:K674" si="426">SUM(G675:G676)</f>
        <v>0</v>
      </c>
      <c r="H674" s="1">
        <f t="shared" si="426"/>
        <v>0</v>
      </c>
      <c r="I674" s="1">
        <f t="shared" si="426"/>
        <v>0</v>
      </c>
      <c r="J674" s="1">
        <f t="shared" si="426"/>
        <v>0</v>
      </c>
      <c r="K674" s="1">
        <f t="shared" si="426"/>
        <v>4.8601154474369785</v>
      </c>
    </row>
    <row r="675" spans="2:11" x14ac:dyDescent="0.35">
      <c r="B675" t="str">
        <f t="shared" si="383"/>
        <v>SPS3</v>
      </c>
      <c r="C675" t="str">
        <f t="shared" si="425"/>
        <v>CH</v>
      </c>
      <c r="D675" t="s">
        <v>394</v>
      </c>
      <c r="E675" s="5" t="s">
        <v>8</v>
      </c>
      <c r="F675" s="1">
        <f>[1]Other_transformation!B31</f>
        <v>0</v>
      </c>
      <c r="G675" s="1">
        <f>[1]Other_transformation!C31</f>
        <v>0</v>
      </c>
      <c r="H675" s="1">
        <f>[1]Other_transformation!D31</f>
        <v>0</v>
      </c>
      <c r="I675" s="1">
        <f>[1]Other_transformation!E31</f>
        <v>0</v>
      </c>
      <c r="J675" s="1">
        <f>[1]Other_transformation!F31</f>
        <v>0</v>
      </c>
      <c r="K675" s="1">
        <f>[1]Other_transformation!G31</f>
        <v>2.6978999344784427E-5</v>
      </c>
    </row>
    <row r="676" spans="2:11" x14ac:dyDescent="0.35">
      <c r="B676" t="str">
        <f t="shared" si="383"/>
        <v>SPS3</v>
      </c>
      <c r="C676" t="str">
        <f t="shared" si="425"/>
        <v>CH</v>
      </c>
      <c r="D676" t="s">
        <v>395</v>
      </c>
      <c r="E676" s="5" t="s">
        <v>8</v>
      </c>
      <c r="F676" s="1">
        <f>[1]Other_transformation!B32</f>
        <v>0</v>
      </c>
      <c r="G676" s="1">
        <f>[1]Other_transformation!C32</f>
        <v>0</v>
      </c>
      <c r="H676" s="1">
        <f>[1]Other_transformation!D32</f>
        <v>0</v>
      </c>
      <c r="I676" s="1">
        <f>[1]Other_transformation!E32</f>
        <v>0</v>
      </c>
      <c r="J676" s="1">
        <f>[1]Other_transformation!F32</f>
        <v>0</v>
      </c>
      <c r="K676" s="1">
        <f>[1]Other_transformation!G32</f>
        <v>4.8600884684376338</v>
      </c>
    </row>
    <row r="677" spans="2:11" x14ac:dyDescent="0.35">
      <c r="B677" s="9" t="str">
        <f t="shared" si="383"/>
        <v>SPS3</v>
      </c>
      <c r="C677" s="9" t="s">
        <v>7</v>
      </c>
      <c r="D677" s="2" t="s">
        <v>406</v>
      </c>
      <c r="E677" s="9" t="s">
        <v>8</v>
      </c>
      <c r="F677" s="3">
        <f>SUM(F678,F682,F684,F693)</f>
        <v>5.4157057037651571E-3</v>
      </c>
      <c r="G677" s="3">
        <f t="shared" ref="G677:K677" si="427">SUM(G678,G682,G684,G693)</f>
        <v>7.3120541922887233E-3</v>
      </c>
      <c r="H677" s="3">
        <f t="shared" si="427"/>
        <v>7.3961389160696975E-3</v>
      </c>
      <c r="I677" s="3">
        <f t="shared" si="427"/>
        <v>1.0375268947254443E-2</v>
      </c>
      <c r="J677" s="3">
        <f t="shared" si="427"/>
        <v>8.3257091043434226</v>
      </c>
      <c r="K677" s="3">
        <f t="shared" si="427"/>
        <v>24.090401364974888</v>
      </c>
    </row>
    <row r="678" spans="2:11" x14ac:dyDescent="0.35">
      <c r="B678" t="str">
        <f t="shared" si="383"/>
        <v>SPS3</v>
      </c>
      <c r="C678" t="str">
        <f>C677</f>
        <v>CH</v>
      </c>
      <c r="D678" t="s">
        <v>921</v>
      </c>
      <c r="E678" s="5" t="s">
        <v>8</v>
      </c>
      <c r="F678" s="1">
        <f>SUM(F679:F681)</f>
        <v>5.4157057037651571E-3</v>
      </c>
      <c r="G678" s="1">
        <f t="shared" ref="G678:K678" si="428">SUM(G679:G681)</f>
        <v>7.3120541922887233E-3</v>
      </c>
      <c r="H678" s="1">
        <f t="shared" si="428"/>
        <v>7.3961389160696975E-3</v>
      </c>
      <c r="I678" s="1">
        <f t="shared" si="428"/>
        <v>1.0375268947254443E-2</v>
      </c>
      <c r="J678" s="1">
        <f t="shared" si="428"/>
        <v>7.2433953280430456</v>
      </c>
      <c r="K678" s="1">
        <f t="shared" si="428"/>
        <v>14.218225951326541</v>
      </c>
    </row>
    <row r="679" spans="2:11" x14ac:dyDescent="0.35">
      <c r="B679" t="str">
        <f t="shared" si="383"/>
        <v>SPS3</v>
      </c>
      <c r="C679" t="str">
        <f t="shared" ref="C679:C695" si="429">C678</f>
        <v>CH</v>
      </c>
      <c r="D679" t="s">
        <v>404</v>
      </c>
      <c r="E679" s="5" t="s">
        <v>8</v>
      </c>
      <c r="F679" s="1" cm="1">
        <f t="array" ref="F679">SUMPRODUCT(("SUP_ELCH2"=[1]OUT_SyntheticFuels!$C$4:$C$1000)*1,ISNUMBER(SEARCH("ELC",[1]OUT_SyntheticFuels!$A$4:$A$1000))*1,("Var_Fin"=[1]OUT_SyntheticFuels!$B$4:$B$1000)*1,[1]OUT_SyntheticFuels!E$4:E$1000)</f>
        <v>5.4157057037651571E-3</v>
      </c>
      <c r="G679" s="1" cm="1">
        <f t="array" ref="G679">SUMPRODUCT(("SUP_ELCH2"=[1]OUT_SyntheticFuels!$C$4:$C$1000)*1,ISNUMBER(SEARCH("ELC",[1]OUT_SyntheticFuels!$A$4:$A$1000))*1,("Var_Fin"=[1]OUT_SyntheticFuels!$B$4:$B$1000)*1,[1]OUT_SyntheticFuels!F$4:F$1000)</f>
        <v>7.3120541922887233E-3</v>
      </c>
      <c r="H679" s="1" cm="1">
        <f t="array" ref="H679">SUMPRODUCT(("SUP_ELCH2"=[1]OUT_SyntheticFuels!$C$4:$C$1000)*1,ISNUMBER(SEARCH("ELC",[1]OUT_SyntheticFuels!$A$4:$A$1000))*1,("Var_Fin"=[1]OUT_SyntheticFuels!$B$4:$B$1000)*1,[1]OUT_SyntheticFuels!G$4:G$1000)</f>
        <v>7.3961389160696975E-3</v>
      </c>
      <c r="I679" s="1" cm="1">
        <f t="array" ref="I679">SUMPRODUCT(("SUP_ELCH2"=[1]OUT_SyntheticFuels!$C$4:$C$1000)*1,ISNUMBER(SEARCH("ELC",[1]OUT_SyntheticFuels!$A$4:$A$1000))*1,("Var_Fin"=[1]OUT_SyntheticFuels!$B$4:$B$1000)*1,[1]OUT_SyntheticFuels!H$4:H$1000)</f>
        <v>1.0374686208505146E-2</v>
      </c>
      <c r="J679" s="1" cm="1">
        <f t="array" ref="J679">SUMPRODUCT(("SUP_ELCH2"=[1]OUT_SyntheticFuels!$C$4:$C$1000)*1,ISNUMBER(SEARCH("ELC",[1]OUT_SyntheticFuels!$A$4:$A$1000))*1,("Var_Fin"=[1]OUT_SyntheticFuels!$B$4:$B$1000)*1,[1]OUT_SyntheticFuels!I$4:I$1000)</f>
        <v>1.939397956846659E-4</v>
      </c>
      <c r="K679" s="1" cm="1">
        <f t="array" ref="K679">SUMPRODUCT(("SUP_ELCH2"=[1]OUT_SyntheticFuels!$C$4:$C$1000)*1,ISNUMBER(SEARCH("ELC",[1]OUT_SyntheticFuels!$A$4:$A$1000))*1,("Var_Fin"=[1]OUT_SyntheticFuels!$B$4:$B$1000)*1,[1]OUT_SyntheticFuels!J$4:J$1000)</f>
        <v>0.78504801594017626</v>
      </c>
    </row>
    <row r="680" spans="2:11" x14ac:dyDescent="0.35">
      <c r="B680" t="str">
        <f t="shared" si="383"/>
        <v>SPS3</v>
      </c>
      <c r="C680" t="str">
        <f t="shared" ref="C680" si="430">C679</f>
        <v>CH</v>
      </c>
      <c r="D680" t="s">
        <v>405</v>
      </c>
      <c r="E680" s="5" t="s">
        <v>8</v>
      </c>
      <c r="F680" s="1" cm="1">
        <f t="array" ref="F680">SUMPRODUCT(("SUP_ELCH2_D"=[1]OUT_SyntheticFuels!$C$4:$C$1000)*1,ISNUMBER(SEARCH("ELC",[1]OUT_SyntheticFuels!$A$4:$A$1000))*1,("Var_Fin"=[1]OUT_SyntheticFuels!$B$4:$B$1000)*1,[1]OUT_SyntheticFuels!E$4:E$1000)</f>
        <v>0</v>
      </c>
      <c r="G680" s="1" cm="1">
        <f t="array" ref="G680">SUMPRODUCT(("SUP_ELCH2_D"=[1]OUT_SyntheticFuels!$C$4:$C$1000)*1,ISNUMBER(SEARCH("ELC",[1]OUT_SyntheticFuels!$A$4:$A$1000))*1,("Var_Fin"=[1]OUT_SyntheticFuels!$B$4:$B$1000)*1,[1]OUT_SyntheticFuels!F$4:F$1000)</f>
        <v>0</v>
      </c>
      <c r="H680" s="1" cm="1">
        <f t="array" ref="H680">SUMPRODUCT(("SUP_ELCH2_D"=[1]OUT_SyntheticFuels!$C$4:$C$1000)*1,ISNUMBER(SEARCH("ELC",[1]OUT_SyntheticFuels!$A$4:$A$1000))*1,("Var_Fin"=[1]OUT_SyntheticFuels!$B$4:$B$1000)*1,[1]OUT_SyntheticFuels!G$4:G$1000)</f>
        <v>0</v>
      </c>
      <c r="I680" s="1" cm="1">
        <f t="array" ref="I680">SUMPRODUCT(("SUP_ELCH2_D"=[1]OUT_SyntheticFuels!$C$4:$C$1000)*1,ISNUMBER(SEARCH("ELC",[1]OUT_SyntheticFuels!$A$4:$A$1000))*1,("Var_Fin"=[1]OUT_SyntheticFuels!$B$4:$B$1000)*1,[1]OUT_SyntheticFuels!H$4:H$1000)</f>
        <v>5.8273874929713461E-7</v>
      </c>
      <c r="J680" s="1" cm="1">
        <f t="array" ref="J680">SUMPRODUCT(("SUP_ELCH2_D"=[1]OUT_SyntheticFuels!$C$4:$C$1000)*1,ISNUMBER(SEARCH("ELC",[1]OUT_SyntheticFuels!$A$4:$A$1000))*1,("Var_Fin"=[1]OUT_SyntheticFuels!$B$4:$B$1000)*1,[1]OUT_SyntheticFuels!I$4:I$1000)</f>
        <v>2.4577621771742205E-5</v>
      </c>
      <c r="K680" s="1" cm="1">
        <f t="array" ref="K680">SUMPRODUCT(("SUP_ELCH2_D"=[1]OUT_SyntheticFuels!$C$4:$C$1000)*1,ISNUMBER(SEARCH("ELC",[1]OUT_SyntheticFuels!$A$4:$A$1000))*1,("Var_Fin"=[1]OUT_SyntheticFuels!$B$4:$B$1000)*1,[1]OUT_SyntheticFuels!J$4:J$1000)</f>
        <v>1.7215127698036184E-5</v>
      </c>
    </row>
    <row r="681" spans="2:11" x14ac:dyDescent="0.35">
      <c r="B681" t="str">
        <f t="shared" si="383"/>
        <v>SPS3</v>
      </c>
      <c r="C681" t="str">
        <f>C679</f>
        <v>CH</v>
      </c>
      <c r="D681" t="s">
        <v>396</v>
      </c>
      <c r="E681" s="5" t="s">
        <v>8</v>
      </c>
      <c r="F681" s="1" cm="1">
        <f t="array" ref="F681">SUMPRODUCT(("SUP_ELCH2_SOEC"=[1]OUT_SyntheticFuels!$C$4:$C$1000)*1,ISNUMBER(SEARCH("ELC",[1]OUT_SyntheticFuels!$A$4:$A$1000))*1,("Var_Fin"=[1]OUT_SyntheticFuels!$B$4:$B$1000)*1,[1]OUT_SyntheticFuels!E$4:E$1000)</f>
        <v>0</v>
      </c>
      <c r="G681" s="1" cm="1">
        <f t="array" ref="G681">SUMPRODUCT(("SUP_ELCH2_SOEC"=[1]OUT_SyntheticFuels!$C$4:$C$1000)*1,ISNUMBER(SEARCH("ELC",[1]OUT_SyntheticFuels!$A$4:$A$1000))*1,("Var_Fin"=[1]OUT_SyntheticFuels!$B$4:$B$1000)*1,[1]OUT_SyntheticFuels!F$4:F$1000)</f>
        <v>0</v>
      </c>
      <c r="H681" s="1" cm="1">
        <f t="array" ref="H681">SUMPRODUCT(("SUP_ELCH2_SOEC"=[1]OUT_SyntheticFuels!$C$4:$C$1000)*1,ISNUMBER(SEARCH("ELC",[1]OUT_SyntheticFuels!$A$4:$A$1000))*1,("Var_Fin"=[1]OUT_SyntheticFuels!$B$4:$B$1000)*1,[1]OUT_SyntheticFuels!G$4:G$1000)</f>
        <v>0</v>
      </c>
      <c r="I681" s="1" cm="1">
        <f t="array" ref="I681">SUMPRODUCT(("SUP_ELCH2_SOEC"=[1]OUT_SyntheticFuels!$C$4:$C$1000)*1,ISNUMBER(SEARCH("ELC",[1]OUT_SyntheticFuels!$A$4:$A$1000))*1,("Var_Fin"=[1]OUT_SyntheticFuels!$B$4:$B$1000)*1,[1]OUT_SyntheticFuels!H$4:H$1000)</f>
        <v>0</v>
      </c>
      <c r="J681" s="1" cm="1">
        <f t="array" ref="J681">SUMPRODUCT(("SUP_ELCH2_SOEC"=[1]OUT_SyntheticFuels!$C$4:$C$1000)*1,ISNUMBER(SEARCH("ELC",[1]OUT_SyntheticFuels!$A$4:$A$1000))*1,("Var_Fin"=[1]OUT_SyntheticFuels!$B$4:$B$1000)*1,[1]OUT_SyntheticFuels!I$4:I$1000)</f>
        <v>7.2431768106255889</v>
      </c>
      <c r="K681" s="1" cm="1">
        <f t="array" ref="K681">SUMPRODUCT(("SUP_ELCH2_SOEC"=[1]OUT_SyntheticFuels!$C$4:$C$1000)*1,ISNUMBER(SEARCH("ELC",[1]OUT_SyntheticFuels!$A$4:$A$1000))*1,("Var_Fin"=[1]OUT_SyntheticFuels!$B$4:$B$1000)*1,[1]OUT_SyntheticFuels!J$4:J$1000)</f>
        <v>13.433160720258668</v>
      </c>
    </row>
    <row r="682" spans="2:11" x14ac:dyDescent="0.35">
      <c r="B682" t="str">
        <f t="shared" si="383"/>
        <v>SPS3</v>
      </c>
      <c r="C682" t="str">
        <f t="shared" ref="C682:C683" si="431">C681</f>
        <v>CH</v>
      </c>
      <c r="D682" t="s">
        <v>922</v>
      </c>
      <c r="E682" s="5" t="s">
        <v>8</v>
      </c>
      <c r="F682" s="1">
        <f>F683</f>
        <v>0</v>
      </c>
      <c r="G682" s="1">
        <f t="shared" ref="G682:K682" si="432">G683</f>
        <v>0</v>
      </c>
      <c r="H682" s="1">
        <f t="shared" si="432"/>
        <v>0</v>
      </c>
      <c r="I682" s="1">
        <f t="shared" si="432"/>
        <v>0</v>
      </c>
      <c r="J682" s="1">
        <f t="shared" si="432"/>
        <v>1.0823137763003765</v>
      </c>
      <c r="K682" s="1">
        <f t="shared" si="432"/>
        <v>1.4925734133620709</v>
      </c>
    </row>
    <row r="683" spans="2:11" x14ac:dyDescent="0.35">
      <c r="B683" t="str">
        <f t="shared" si="383"/>
        <v>SPS3</v>
      </c>
      <c r="C683" t="str">
        <f t="shared" si="431"/>
        <v>CH</v>
      </c>
      <c r="D683" t="s">
        <v>401</v>
      </c>
      <c r="E683" s="5" t="s">
        <v>8</v>
      </c>
      <c r="F683" s="1" cm="1">
        <f t="array" ref="F683">SUMPRODUCT(("SUP_ELCH2_SOEC"=[1]OUT_SyntheticFuels!$C$4:$C$1000)*1,ISNUMBER(SEARCH("CHEAT",[1]OUT_SyntheticFuels!$A$4:$A$1000))*1,("Var_Fin"=[1]OUT_SyntheticFuels!$B$4:$B$1000)*1,[1]OUT_SyntheticFuels!E$4:E$1000)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SUMPRODUCT(("SUP_ELCH2_SOEC"=[1]OUT_SyntheticFuels!$C$4:$C$1000)*1,ISNUMBER(SEARCH("CHEAT",[1]OUT_SyntheticFuels!$A$4:$A$1000))*1,("Var_Fin"=[1]OUT_SyntheticFuels!$B$4:$B$1000)*1,[1]OUT_SyntheticFuels!F$4:F$1000)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SUMPRODUCT(("SUP_ELCH2_SOEC"=[1]OUT_SyntheticFuels!$C$4:$C$1000)*1,ISNUMBER(SEARCH("CHEAT",[1]OUT_SyntheticFuels!$A$4:$A$1000))*1,("Var_Fin"=[1]OUT_SyntheticFuels!$B$4:$B$1000)*1,[1]OUT_SyntheticFuels!G$4:G$1000)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SUMPRODUCT(("SUP_ELCH2_SOEC"=[1]OUT_SyntheticFuels!$C$4:$C$1000)*1,ISNUMBER(SEARCH("CHEAT",[1]OUT_SyntheticFuels!$A$4:$A$1000))*1,("Var_Fin"=[1]OUT_SyntheticFuels!$B$4:$B$1000)*1,[1]OUT_SyntheticFuels!H$4:H$1000)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SUMPRODUCT(("SUP_ELCH2_SOEC"=[1]OUT_SyntheticFuels!$C$4:$C$1000)*1,ISNUMBER(SEARCH("CHEAT",[1]OUT_SyntheticFuels!$A$4:$A$1000))*1,("Var_Fin"=[1]OUT_SyntheticFuels!$B$4:$B$1000)*1,[1]OUT_SyntheticFuels!I$4:I$1000)</f>
        <v>1.0823137763003765</v>
      </c>
      <c r="K683" s="1" cm="1">
        <f t="array" ref="K683">SUMPRODUCT(("SUP_ELCH2_SOEC"=[1]OUT_SyntheticFuels!$C$4:$C$1000)*1,ISNUMBER(SEARCH("CHEAT",[1]OUT_SyntheticFuels!$A$4:$A$1000))*1,("Var_Fin"=[1]OUT_SyntheticFuels!$B$4:$B$1000)*1,[1]OUT_SyntheticFuels!J$4:J$1000)</f>
        <v>1.4925734133620709</v>
      </c>
    </row>
    <row r="684" spans="2:11" x14ac:dyDescent="0.35">
      <c r="B684" t="str">
        <f t="shared" si="383"/>
        <v>SPS3</v>
      </c>
      <c r="C684" t="str">
        <f>C681</f>
        <v>CH</v>
      </c>
      <c r="D684" t="s">
        <v>923</v>
      </c>
      <c r="E684" s="5" t="s">
        <v>8</v>
      </c>
      <c r="F684" s="1">
        <f>SUM(F685:F686)</f>
        <v>0</v>
      </c>
      <c r="G684" s="1">
        <f t="shared" ref="G684:K684" si="433">SUM(G685:G686)</f>
        <v>0</v>
      </c>
      <c r="H684" s="1">
        <f t="shared" si="433"/>
        <v>0</v>
      </c>
      <c r="I684" s="1">
        <f t="shared" si="433"/>
        <v>0</v>
      </c>
      <c r="J684" s="1">
        <f t="shared" si="433"/>
        <v>0</v>
      </c>
      <c r="K684" s="1">
        <f t="shared" si="433"/>
        <v>9.4158670760717452E-5</v>
      </c>
    </row>
    <row r="685" spans="2:11" x14ac:dyDescent="0.35">
      <c r="B685" t="str">
        <f t="shared" si="383"/>
        <v>SPS3</v>
      </c>
      <c r="C685" t="str">
        <f t="shared" si="429"/>
        <v>CH</v>
      </c>
      <c r="D685" t="s">
        <v>397</v>
      </c>
      <c r="E685" s="5" t="s">
        <v>8</v>
      </c>
      <c r="F685" s="1" cm="1">
        <f t="array" ref="F685">SUMPRODUCT(("SUP_ngaH2"=[1]OUT_SyntheticFuels!$C$4:$C$1000)*1,ISNUMBER(SEARCH("nga",[1]OUT_SyntheticFuels!$A$4:$A$1000))*1,("Var_Fin"=[1]OUT_SyntheticFuels!$B$4:$B$1000)*1,[1]OUT_SyntheticFuels!E$4:E$1000)</f>
        <v>0</v>
      </c>
      <c r="G685" s="1" cm="1">
        <f t="array" ref="G685">SUMPRODUCT(("SUP_ngaH2"=[1]OUT_SyntheticFuels!$C$4:$C$1000)*1,ISNUMBER(SEARCH("nga",[1]OUT_SyntheticFuels!$A$4:$A$1000))*1,("Var_Fin"=[1]OUT_SyntheticFuels!$B$4:$B$1000)*1,[1]OUT_SyntheticFuels!F$4:F$1000)</f>
        <v>0</v>
      </c>
      <c r="H685" s="1" cm="1">
        <f t="array" ref="H685">SUMPRODUCT(("SUP_ngaH2"=[1]OUT_SyntheticFuels!$C$4:$C$1000)*1,ISNUMBER(SEARCH("nga",[1]OUT_SyntheticFuels!$A$4:$A$1000))*1,("Var_Fin"=[1]OUT_SyntheticFuels!$B$4:$B$1000)*1,[1]OUT_SyntheticFuels!G$4:G$1000)</f>
        <v>0</v>
      </c>
      <c r="I685" s="1" cm="1">
        <f t="array" ref="I685">SUMPRODUCT(("SUP_ngaH2"=[1]OUT_SyntheticFuels!$C$4:$C$1000)*1,ISNUMBER(SEARCH("nga",[1]OUT_SyntheticFuels!$A$4:$A$1000))*1,("Var_Fin"=[1]OUT_SyntheticFuels!$B$4:$B$1000)*1,[1]OUT_SyntheticFuels!H$4:H$1000)</f>
        <v>0</v>
      </c>
      <c r="J685" s="1" cm="1">
        <f t="array" ref="J685">SUMPRODUCT(("SUP_ngaH2"=[1]OUT_SyntheticFuels!$C$4:$C$1000)*1,ISNUMBER(SEARCH("nga",[1]OUT_SyntheticFuels!$A$4:$A$1000))*1,("Var_Fin"=[1]OUT_SyntheticFuels!$B$4:$B$1000)*1,[1]OUT_SyntheticFuels!I$4:I$1000)</f>
        <v>0</v>
      </c>
      <c r="K685" s="1" cm="1">
        <f t="array" ref="K685">SUMPRODUCT(("SUP_ngaH2"=[1]OUT_SyntheticFuels!$C$4:$C$1000)*1,ISNUMBER(SEARCH("nga",[1]OUT_SyntheticFuels!$A$4:$A$1000))*1,("Var_Fin"=[1]OUT_SyntheticFuels!$B$4:$B$1000)*1,[1]OUT_SyntheticFuels!J$4:J$1000)</f>
        <v>4.1986989908759755E-5</v>
      </c>
    </row>
    <row r="686" spans="2:11" x14ac:dyDescent="0.35">
      <c r="B686" t="str">
        <f t="shared" si="383"/>
        <v>SPS3</v>
      </c>
      <c r="C686" t="str">
        <f t="shared" si="429"/>
        <v>CH</v>
      </c>
      <c r="D686" t="s">
        <v>398</v>
      </c>
      <c r="E686" s="5" t="s">
        <v>8</v>
      </c>
      <c r="F686" s="1" cm="1">
        <f t="array" ref="F686">SUMPRODUCT(("SUP_ngaH2ccs"=[1]OUT_SyntheticFuels!$C$4:$C$1000)*1,ISNUMBER(SEARCH("nga",[1]OUT_SyntheticFuels!$A$4:$A$1000))*1,("Var_Fin"=[1]OUT_SyntheticFuels!$B$4:$B$1000)*1,[1]OUT_SyntheticFuels!E$4:E$1000)</f>
        <v>0</v>
      </c>
      <c r="G686" s="1" cm="1">
        <f t="array" ref="G686">SUMPRODUCT(("SUP_ngaH2ccs"=[1]OUT_SyntheticFuels!$C$4:$C$1000)*1,ISNUMBER(SEARCH("nga",[1]OUT_SyntheticFuels!$A$4:$A$1000))*1,("Var_Fin"=[1]OUT_SyntheticFuels!$B$4:$B$1000)*1,[1]OUT_SyntheticFuels!F$4:F$1000)</f>
        <v>0</v>
      </c>
      <c r="H686" s="1" cm="1">
        <f t="array" ref="H686">SUMPRODUCT(("SUP_ngaH2ccs"=[1]OUT_SyntheticFuels!$C$4:$C$1000)*1,ISNUMBER(SEARCH("nga",[1]OUT_SyntheticFuels!$A$4:$A$1000))*1,("Var_Fin"=[1]OUT_SyntheticFuels!$B$4:$B$1000)*1,[1]OUT_SyntheticFuels!G$4:G$1000)</f>
        <v>0</v>
      </c>
      <c r="I686" s="1" cm="1">
        <f t="array" ref="I686">SUMPRODUCT(("SUP_ngaH2ccs"=[1]OUT_SyntheticFuels!$C$4:$C$1000)*1,ISNUMBER(SEARCH("nga",[1]OUT_SyntheticFuels!$A$4:$A$1000))*1,("Var_Fin"=[1]OUT_SyntheticFuels!$B$4:$B$1000)*1,[1]OUT_SyntheticFuels!H$4:H$1000)</f>
        <v>0</v>
      </c>
      <c r="J686" s="1" cm="1">
        <f t="array" ref="J686">SUMPRODUCT(("SUP_ngaH2ccs"=[1]OUT_SyntheticFuels!$C$4:$C$1000)*1,ISNUMBER(SEARCH("nga",[1]OUT_SyntheticFuels!$A$4:$A$1000))*1,("Var_Fin"=[1]OUT_SyntheticFuels!$B$4:$B$1000)*1,[1]OUT_SyntheticFuels!I$4:I$1000)</f>
        <v>0</v>
      </c>
      <c r="K686" s="1" cm="1">
        <f t="array" ref="K686">SUMPRODUCT(("SUP_ngaH2ccs"=[1]OUT_SyntheticFuels!$C$4:$C$1000)*1,ISNUMBER(SEARCH("nga",[1]OUT_SyntheticFuels!$A$4:$A$1000))*1,("Var_Fin"=[1]OUT_SyntheticFuels!$B$4:$B$1000)*1,[1]OUT_SyntheticFuels!J$4:J$1000)</f>
        <v>5.2171680851957704E-5</v>
      </c>
    </row>
    <row r="687" spans="2:11" x14ac:dyDescent="0.35">
      <c r="B687" t="str">
        <f t="shared" si="383"/>
        <v>SPS3</v>
      </c>
      <c r="C687" t="str">
        <f t="shared" si="429"/>
        <v>CH</v>
      </c>
      <c r="D687" t="s">
        <v>924</v>
      </c>
      <c r="E687" s="5" t="s">
        <v>8</v>
      </c>
      <c r="F687" s="1">
        <f>F684-F690</f>
        <v>0</v>
      </c>
      <c r="G687" s="1">
        <f t="shared" ref="G687:K687" si="434">G684-G690</f>
        <v>0</v>
      </c>
      <c r="H687" s="1">
        <f t="shared" si="434"/>
        <v>0</v>
      </c>
      <c r="I687" s="1">
        <f t="shared" si="434"/>
        <v>0</v>
      </c>
      <c r="J687" s="1">
        <f t="shared" si="434"/>
        <v>0</v>
      </c>
      <c r="K687" s="1">
        <f t="shared" si="434"/>
        <v>0</v>
      </c>
    </row>
    <row r="688" spans="2:11" x14ac:dyDescent="0.35">
      <c r="B688" t="str">
        <f t="shared" si="383"/>
        <v>SPS3</v>
      </c>
      <c r="C688" t="str">
        <f t="shared" si="429"/>
        <v>CH</v>
      </c>
      <c r="D688" t="s">
        <v>609</v>
      </c>
      <c r="E688" s="5" t="s">
        <v>8</v>
      </c>
      <c r="F688" s="1">
        <f t="shared" ref="F688:K688" si="435">F685-F691</f>
        <v>0</v>
      </c>
      <c r="G688" s="1">
        <f t="shared" si="435"/>
        <v>0</v>
      </c>
      <c r="H688" s="1">
        <f t="shared" si="435"/>
        <v>0</v>
      </c>
      <c r="I688" s="1">
        <f t="shared" si="435"/>
        <v>0</v>
      </c>
      <c r="J688" s="1">
        <f t="shared" si="435"/>
        <v>0</v>
      </c>
      <c r="K688" s="1">
        <f t="shared" si="435"/>
        <v>0</v>
      </c>
    </row>
    <row r="689" spans="2:11" x14ac:dyDescent="0.35">
      <c r="B689" t="str">
        <f t="shared" si="383"/>
        <v>SPS3</v>
      </c>
      <c r="C689" t="str">
        <f t="shared" si="429"/>
        <v>CH</v>
      </c>
      <c r="D689" t="s">
        <v>610</v>
      </c>
      <c r="E689" s="5" t="s">
        <v>8</v>
      </c>
      <c r="F689" s="1">
        <f t="shared" ref="F689:K689" si="436">F686-F692</f>
        <v>0</v>
      </c>
      <c r="G689" s="1">
        <f t="shared" si="436"/>
        <v>0</v>
      </c>
      <c r="H689" s="1">
        <f t="shared" si="436"/>
        <v>0</v>
      </c>
      <c r="I689" s="1">
        <f t="shared" si="436"/>
        <v>0</v>
      </c>
      <c r="J689" s="1">
        <f t="shared" si="436"/>
        <v>0</v>
      </c>
      <c r="K689" s="1">
        <f t="shared" si="436"/>
        <v>0</v>
      </c>
    </row>
    <row r="690" spans="2:11" x14ac:dyDescent="0.35">
      <c r="B690" t="str">
        <f t="shared" si="383"/>
        <v>SPS3</v>
      </c>
      <c r="C690" t="str">
        <f t="shared" si="429"/>
        <v>CH</v>
      </c>
      <c r="D690" t="s">
        <v>925</v>
      </c>
      <c r="E690" s="5" t="s">
        <v>8</v>
      </c>
      <c r="F690" s="1">
        <f>SUM(F691:F692)</f>
        <v>0</v>
      </c>
      <c r="G690" s="1">
        <f t="shared" ref="G690:K690" si="437">SUM(G691:G692)</f>
        <v>0</v>
      </c>
      <c r="H690" s="1">
        <f t="shared" si="437"/>
        <v>0</v>
      </c>
      <c r="I690" s="1">
        <f t="shared" si="437"/>
        <v>0</v>
      </c>
      <c r="J690" s="1">
        <f t="shared" si="437"/>
        <v>0</v>
      </c>
      <c r="K690" s="1">
        <f t="shared" si="437"/>
        <v>9.4158670760717452E-5</v>
      </c>
    </row>
    <row r="691" spans="2:11" x14ac:dyDescent="0.35">
      <c r="B691" t="str">
        <f t="shared" si="383"/>
        <v>SPS3</v>
      </c>
      <c r="C691" t="str">
        <f t="shared" si="429"/>
        <v>CH</v>
      </c>
      <c r="D691" t="s">
        <v>670</v>
      </c>
      <c r="E691" s="5" t="s">
        <v>8</v>
      </c>
      <c r="F691" s="1">
        <f>IFERROR(F672/F666,0)*F685</f>
        <v>0</v>
      </c>
      <c r="G691" s="1">
        <f t="shared" ref="G691:K692" si="438">IFERROR(G672/G666,0)*G685</f>
        <v>0</v>
      </c>
      <c r="H691" s="1">
        <f t="shared" si="438"/>
        <v>0</v>
      </c>
      <c r="I691" s="1">
        <f t="shared" si="438"/>
        <v>0</v>
      </c>
      <c r="J691" s="1">
        <f t="shared" si="438"/>
        <v>0</v>
      </c>
      <c r="K691" s="1">
        <f t="shared" si="438"/>
        <v>4.1986989908759755E-5</v>
      </c>
    </row>
    <row r="692" spans="2:11" x14ac:dyDescent="0.35">
      <c r="B692" t="str">
        <f t="shared" ref="B692:B755" si="439">B691</f>
        <v>SPS3</v>
      </c>
      <c r="C692" t="str">
        <f t="shared" si="429"/>
        <v>CH</v>
      </c>
      <c r="D692" t="s">
        <v>671</v>
      </c>
      <c r="E692" s="5" t="s">
        <v>8</v>
      </c>
      <c r="F692" s="1">
        <f>IFERROR(F673/F667,0)*F686</f>
        <v>0</v>
      </c>
      <c r="G692" s="1">
        <f t="shared" si="438"/>
        <v>0</v>
      </c>
      <c r="H692" s="1">
        <f t="shared" si="438"/>
        <v>0</v>
      </c>
      <c r="I692" s="1">
        <f t="shared" si="438"/>
        <v>0</v>
      </c>
      <c r="J692" s="1">
        <f t="shared" si="438"/>
        <v>0</v>
      </c>
      <c r="K692" s="1">
        <f t="shared" si="438"/>
        <v>5.2171680851957704E-5</v>
      </c>
    </row>
    <row r="693" spans="2:11" x14ac:dyDescent="0.35">
      <c r="B693" t="str">
        <f t="shared" si="439"/>
        <v>SPS3</v>
      </c>
      <c r="C693" t="str">
        <f t="shared" si="429"/>
        <v>CH</v>
      </c>
      <c r="D693" t="s">
        <v>926</v>
      </c>
      <c r="E693" s="5" t="s">
        <v>8</v>
      </c>
      <c r="F693" s="1">
        <f>SUM(F694:F695)</f>
        <v>0</v>
      </c>
      <c r="G693" s="1">
        <f t="shared" ref="G693:K693" si="440">SUM(G694:G695)</f>
        <v>0</v>
      </c>
      <c r="H693" s="1">
        <f t="shared" si="440"/>
        <v>0</v>
      </c>
      <c r="I693" s="1">
        <f t="shared" si="440"/>
        <v>0</v>
      </c>
      <c r="J693" s="1">
        <f t="shared" si="440"/>
        <v>0</v>
      </c>
      <c r="K693" s="1">
        <f t="shared" si="440"/>
        <v>8.3795078416155171</v>
      </c>
    </row>
    <row r="694" spans="2:11" x14ac:dyDescent="0.35">
      <c r="B694" t="str">
        <f t="shared" si="439"/>
        <v>SPS3</v>
      </c>
      <c r="C694" t="str">
        <f t="shared" si="429"/>
        <v>CH</v>
      </c>
      <c r="D694" t="s">
        <v>399</v>
      </c>
      <c r="E694" s="5" t="s">
        <v>8</v>
      </c>
      <c r="F694" s="1" cm="1">
        <f t="array" ref="F694">SUMPRODUCT(("SUP_wodH2"=[1]OUT_SyntheticFuels!$C$4:$C$1000)*1,ISNUMBER(SEARCH("wod",[1]OUT_SyntheticFuels!$A$4:$A$1000))*1,("Var_Fin"=[1]OUT_SyntheticFuels!$B$4:$B$1000)*1,[1]OUT_SyntheticFuels!E$4:E$1000)</f>
        <v>0</v>
      </c>
      <c r="G694" s="1" cm="1">
        <f t="array" ref="G694">SUMPRODUCT(("SUP_wodH2"=[1]OUT_SyntheticFuels!$C$4:$C$1000)*1,ISNUMBER(SEARCH("wod",[1]OUT_SyntheticFuels!$A$4:$A$1000))*1,("Var_Fin"=[1]OUT_SyntheticFuels!$B$4:$B$1000)*1,[1]OUT_SyntheticFuels!F$4:F$1000)</f>
        <v>0</v>
      </c>
      <c r="H694" s="1" cm="1">
        <f t="array" ref="H694">SUMPRODUCT(("SUP_wodH2"=[1]OUT_SyntheticFuels!$C$4:$C$1000)*1,ISNUMBER(SEARCH("wod",[1]OUT_SyntheticFuels!$A$4:$A$1000))*1,("Var_Fin"=[1]OUT_SyntheticFuels!$B$4:$B$1000)*1,[1]OUT_SyntheticFuels!G$4:G$1000)</f>
        <v>0</v>
      </c>
      <c r="I694" s="1" cm="1">
        <f t="array" ref="I694">SUMPRODUCT(("SUP_wodH2"=[1]OUT_SyntheticFuels!$C$4:$C$1000)*1,ISNUMBER(SEARCH("wod",[1]OUT_SyntheticFuels!$A$4:$A$1000))*1,("Var_Fin"=[1]OUT_SyntheticFuels!$B$4:$B$1000)*1,[1]OUT_SyntheticFuels!H$4:H$1000)</f>
        <v>0</v>
      </c>
      <c r="J694" s="1" cm="1">
        <f t="array" ref="J694">SUMPRODUCT(("SUP_wodH2"=[1]OUT_SyntheticFuels!$C$4:$C$1000)*1,ISNUMBER(SEARCH("wod",[1]OUT_SyntheticFuels!$A$4:$A$1000))*1,("Var_Fin"=[1]OUT_SyntheticFuels!$B$4:$B$1000)*1,[1]OUT_SyntheticFuels!I$4:I$1000)</f>
        <v>0</v>
      </c>
      <c r="K694" s="1" cm="1">
        <f t="array" ref="K694">SUMPRODUCT(("SUP_wodH2"=[1]OUT_SyntheticFuels!$C$4:$C$1000)*1,ISNUMBER(SEARCH("wod",[1]OUT_SyntheticFuels!$A$4:$A$1000))*1,("Var_Fin"=[1]OUT_SyntheticFuels!$B$4:$B$1000)*1,[1]OUT_SyntheticFuels!J$4:J$1000)</f>
        <v>4.4964998908492562E-5</v>
      </c>
    </row>
    <row r="695" spans="2:11" x14ac:dyDescent="0.35">
      <c r="B695" t="str">
        <f t="shared" si="439"/>
        <v>SPS3</v>
      </c>
      <c r="C695" t="str">
        <f t="shared" si="429"/>
        <v>CH</v>
      </c>
      <c r="D695" t="s">
        <v>400</v>
      </c>
      <c r="E695" s="5" t="s">
        <v>8</v>
      </c>
      <c r="F695" s="1" cm="1">
        <f t="array" ref="F695">SUMPRODUCT(("SUP_wodH2ccs"=[1]OUT_SyntheticFuels!$C$4:$C$1000)*1,ISNUMBER(SEARCH("wod",[1]OUT_SyntheticFuels!$A$4:$A$1000))*1,("Var_Fin"=[1]OUT_SyntheticFuels!$B$4:$B$1000)*1,[1]OUT_SyntheticFuels!E$4:E$1000)</f>
        <v>0</v>
      </c>
      <c r="G695" s="1" cm="1">
        <f t="array" ref="G695">SUMPRODUCT(("SUP_wodH2ccs"=[1]OUT_SyntheticFuels!$C$4:$C$1000)*1,ISNUMBER(SEARCH("wod",[1]OUT_SyntheticFuels!$A$4:$A$1000))*1,("Var_Fin"=[1]OUT_SyntheticFuels!$B$4:$B$1000)*1,[1]OUT_SyntheticFuels!F$4:F$1000)</f>
        <v>0</v>
      </c>
      <c r="H695" s="1" cm="1">
        <f t="array" ref="H695">SUMPRODUCT(("SUP_wodH2ccs"=[1]OUT_SyntheticFuels!$C$4:$C$1000)*1,ISNUMBER(SEARCH("wod",[1]OUT_SyntheticFuels!$A$4:$A$1000))*1,("Var_Fin"=[1]OUT_SyntheticFuels!$B$4:$B$1000)*1,[1]OUT_SyntheticFuels!G$4:G$1000)</f>
        <v>0</v>
      </c>
      <c r="I695" s="1" cm="1">
        <f t="array" ref="I695">SUMPRODUCT(("SUP_wodH2ccs"=[1]OUT_SyntheticFuels!$C$4:$C$1000)*1,ISNUMBER(SEARCH("wod",[1]OUT_SyntheticFuels!$A$4:$A$1000))*1,("Var_Fin"=[1]OUT_SyntheticFuels!$B$4:$B$1000)*1,[1]OUT_SyntheticFuels!H$4:H$1000)</f>
        <v>0</v>
      </c>
      <c r="J695" s="1" cm="1">
        <f t="array" ref="J695">SUMPRODUCT(("SUP_wodH2ccs"=[1]OUT_SyntheticFuels!$C$4:$C$1000)*1,ISNUMBER(SEARCH("wod",[1]OUT_SyntheticFuels!$A$4:$A$1000))*1,("Var_Fin"=[1]OUT_SyntheticFuels!$B$4:$B$1000)*1,[1]OUT_SyntheticFuels!I$4:I$1000)</f>
        <v>0</v>
      </c>
      <c r="K695" s="1" cm="1">
        <f t="array" ref="K695">SUMPRODUCT(("SUP_wodH2ccs"=[1]OUT_SyntheticFuels!$C$4:$C$1000)*1,ISNUMBER(SEARCH("wod",[1]OUT_SyntheticFuels!$A$4:$A$1000))*1,("Var_Fin"=[1]OUT_SyntheticFuels!$B$4:$B$1000)*1,[1]OUT_SyntheticFuels!J$4:J$1000)</f>
        <v>8.3794628766166088</v>
      </c>
    </row>
    <row r="696" spans="2:11" x14ac:dyDescent="0.35">
      <c r="B696" s="9" t="str">
        <f t="shared" si="439"/>
        <v>SPS3</v>
      </c>
      <c r="C696" s="9" t="s">
        <v>7</v>
      </c>
      <c r="D696" s="2" t="s">
        <v>408</v>
      </c>
      <c r="E696" s="9" t="s">
        <v>240</v>
      </c>
      <c r="F696" s="4" t="s">
        <v>292</v>
      </c>
      <c r="G696" s="4" t="s">
        <v>292</v>
      </c>
      <c r="H696" s="4" t="s">
        <v>292</v>
      </c>
      <c r="I696" s="4" t="s">
        <v>292</v>
      </c>
      <c r="J696" s="4" t="s">
        <v>292</v>
      </c>
      <c r="K696" s="4" t="s">
        <v>292</v>
      </c>
    </row>
    <row r="697" spans="2:11" x14ac:dyDescent="0.35">
      <c r="B697" t="str">
        <f t="shared" si="439"/>
        <v>SPS3</v>
      </c>
      <c r="C697" t="str">
        <f t="shared" ref="C697:C703" si="441">C696</f>
        <v>CH</v>
      </c>
      <c r="D697" t="s">
        <v>409</v>
      </c>
      <c r="E697" s="5" t="s">
        <v>240</v>
      </c>
      <c r="F697" s="4">
        <f>IFERROR(F662/F679,"-")</f>
        <v>0.68499999999999983</v>
      </c>
      <c r="G697" s="4">
        <f t="shared" ref="G697:K697" si="442">IFERROR(G662/G679,"-")</f>
        <v>0.69400000000000017</v>
      </c>
      <c r="H697" s="4">
        <f t="shared" si="442"/>
        <v>0.70750000000000068</v>
      </c>
      <c r="I697" s="4">
        <f t="shared" si="442"/>
        <v>0.72999999999999887</v>
      </c>
      <c r="J697" s="4">
        <f t="shared" si="442"/>
        <v>0.77500000000000036</v>
      </c>
      <c r="K697" s="4">
        <f t="shared" si="442"/>
        <v>0.82000000000000028</v>
      </c>
    </row>
    <row r="698" spans="2:11" x14ac:dyDescent="0.35">
      <c r="B698" t="str">
        <f t="shared" si="439"/>
        <v>SPS3</v>
      </c>
      <c r="C698" t="str">
        <f t="shared" si="441"/>
        <v>CH</v>
      </c>
      <c r="D698" t="s">
        <v>410</v>
      </c>
      <c r="E698" s="5" t="s">
        <v>240</v>
      </c>
      <c r="F698" s="4" t="str">
        <f>IFERROR(F663/F680,"-")</f>
        <v>-</v>
      </c>
      <c r="G698" s="4" t="str">
        <f t="shared" ref="G698:K698" si="443">IFERROR(G663/G680,"-")</f>
        <v>-</v>
      </c>
      <c r="H698" s="4" t="str">
        <f t="shared" si="443"/>
        <v>-</v>
      </c>
      <c r="I698" s="4">
        <f t="shared" si="443"/>
        <v>0.7300000000000002</v>
      </c>
      <c r="J698" s="4">
        <f t="shared" si="443"/>
        <v>0.77500000000000036</v>
      </c>
      <c r="K698" s="4">
        <f t="shared" si="443"/>
        <v>0.82000000000000028</v>
      </c>
    </row>
    <row r="699" spans="2:11" x14ac:dyDescent="0.35">
      <c r="B699" t="str">
        <f t="shared" si="439"/>
        <v>SPS3</v>
      </c>
      <c r="C699" t="str">
        <f t="shared" si="441"/>
        <v>CH</v>
      </c>
      <c r="D699" t="s">
        <v>411</v>
      </c>
      <c r="E699" s="5" t="s">
        <v>240</v>
      </c>
      <c r="F699" s="4" t="str">
        <f>IFERROR(F664/SUM(F681,F683),"-")</f>
        <v>-</v>
      </c>
      <c r="G699" s="4" t="str">
        <f t="shared" ref="G699:K699" si="444">IFERROR(G664/SUM(G681,G683),"-")</f>
        <v>-</v>
      </c>
      <c r="H699" s="4" t="str">
        <f t="shared" si="444"/>
        <v>-</v>
      </c>
      <c r="I699" s="4" t="str">
        <f t="shared" si="444"/>
        <v>-</v>
      </c>
      <c r="J699" s="4">
        <f t="shared" si="444"/>
        <v>0.86999999999999988</v>
      </c>
      <c r="K699" s="4">
        <f t="shared" si="444"/>
        <v>0.90000000000000013</v>
      </c>
    </row>
    <row r="700" spans="2:11" x14ac:dyDescent="0.35">
      <c r="B700" t="str">
        <f t="shared" si="439"/>
        <v>SPS3</v>
      </c>
      <c r="C700" t="str">
        <f t="shared" si="441"/>
        <v>CH</v>
      </c>
      <c r="D700" t="s">
        <v>412</v>
      </c>
      <c r="E700" s="5" t="s">
        <v>240</v>
      </c>
      <c r="F700" s="4" t="str">
        <f>IFERROR(F666/F685,"-")</f>
        <v>-</v>
      </c>
      <c r="G700" s="4" t="str">
        <f t="shared" ref="G700:K701" si="445">IFERROR(G666/G685,"-")</f>
        <v>-</v>
      </c>
      <c r="H700" s="4" t="str">
        <f t="shared" si="445"/>
        <v>-</v>
      </c>
      <c r="I700" s="4" t="str">
        <f t="shared" si="445"/>
        <v>-</v>
      </c>
      <c r="J700" s="4" t="str">
        <f t="shared" si="445"/>
        <v>-</v>
      </c>
      <c r="K700" s="4">
        <f t="shared" si="445"/>
        <v>0.75999999999999923</v>
      </c>
    </row>
    <row r="701" spans="2:11" x14ac:dyDescent="0.35">
      <c r="B701" t="str">
        <f t="shared" si="439"/>
        <v>SPS3</v>
      </c>
      <c r="C701" t="str">
        <f t="shared" si="441"/>
        <v>CH</v>
      </c>
      <c r="D701" t="s">
        <v>413</v>
      </c>
      <c r="E701" s="5" t="s">
        <v>240</v>
      </c>
      <c r="F701" s="4" t="str">
        <f>IFERROR(F667/F686,"-")</f>
        <v>-</v>
      </c>
      <c r="G701" s="4" t="str">
        <f t="shared" si="445"/>
        <v>-</v>
      </c>
      <c r="H701" s="4" t="str">
        <f t="shared" si="445"/>
        <v>-</v>
      </c>
      <c r="I701" s="4" t="str">
        <f t="shared" si="445"/>
        <v>-</v>
      </c>
      <c r="J701" s="4" t="str">
        <f t="shared" si="445"/>
        <v>-</v>
      </c>
      <c r="K701" s="4">
        <f t="shared" si="445"/>
        <v>0.69000000000000072</v>
      </c>
    </row>
    <row r="702" spans="2:11" x14ac:dyDescent="0.35">
      <c r="B702" t="str">
        <f t="shared" si="439"/>
        <v>SPS3</v>
      </c>
      <c r="C702" t="str">
        <f>C701</f>
        <v>CH</v>
      </c>
      <c r="D702" t="s">
        <v>414</v>
      </c>
      <c r="E702" s="5" t="s">
        <v>240</v>
      </c>
      <c r="F702" s="4" t="str">
        <f>IFERROR(F675/F694,"-")</f>
        <v>-</v>
      </c>
      <c r="G702" s="4" t="str">
        <f t="shared" ref="G702:K703" si="446">IFERROR(G675/G694,"-")</f>
        <v>-</v>
      </c>
      <c r="H702" s="4" t="str">
        <f t="shared" si="446"/>
        <v>-</v>
      </c>
      <c r="I702" s="4" t="str">
        <f t="shared" si="446"/>
        <v>-</v>
      </c>
      <c r="J702" s="4" t="str">
        <f t="shared" si="446"/>
        <v>-</v>
      </c>
      <c r="K702" s="4">
        <f t="shared" si="446"/>
        <v>0.59999999999308107</v>
      </c>
    </row>
    <row r="703" spans="2:11" x14ac:dyDescent="0.35">
      <c r="B703" t="str">
        <f t="shared" si="439"/>
        <v>SPS3</v>
      </c>
      <c r="C703" t="str">
        <f t="shared" si="441"/>
        <v>CH</v>
      </c>
      <c r="D703" t="s">
        <v>415</v>
      </c>
      <c r="E703" s="5" t="s">
        <v>240</v>
      </c>
      <c r="F703" s="4" t="str">
        <f>IFERROR(F676/F695,"-")</f>
        <v>-</v>
      </c>
      <c r="G703" s="4" t="str">
        <f t="shared" si="446"/>
        <v>-</v>
      </c>
      <c r="H703" s="4" t="str">
        <f t="shared" si="446"/>
        <v>-</v>
      </c>
      <c r="I703" s="4" t="str">
        <f t="shared" si="446"/>
        <v>-</v>
      </c>
      <c r="J703" s="4" t="str">
        <f t="shared" si="446"/>
        <v>-</v>
      </c>
      <c r="K703" s="4">
        <f t="shared" si="446"/>
        <v>0.58000000000000007</v>
      </c>
    </row>
    <row r="704" spans="2:11" x14ac:dyDescent="0.35">
      <c r="B704" s="9" t="str">
        <f t="shared" si="439"/>
        <v>SPS3</v>
      </c>
      <c r="C704" s="9" t="s">
        <v>7</v>
      </c>
      <c r="D704" s="2" t="s">
        <v>424</v>
      </c>
      <c r="E704" s="9" t="s">
        <v>8</v>
      </c>
      <c r="F704" s="1">
        <f>[1]Other_transformation!B$39</f>
        <v>1.1764831598630363</v>
      </c>
      <c r="G704" s="1">
        <f>[1]Other_transformation!C$39</f>
        <v>4.3992267761689625</v>
      </c>
      <c r="H704" s="1">
        <f>[1]Other_transformation!D$39</f>
        <v>4.3992853931347309</v>
      </c>
      <c r="I704" s="1">
        <f>[1]Other_transformation!E$39</f>
        <v>5.2076005072023959</v>
      </c>
      <c r="J704" s="1">
        <f>[1]Other_transformation!F$39</f>
        <v>11.566337180069118</v>
      </c>
      <c r="K704" s="1">
        <f>[1]Other_transformation!G$39</f>
        <v>14.187050168057015</v>
      </c>
    </row>
    <row r="705" spans="2:11" x14ac:dyDescent="0.35">
      <c r="B705" s="9" t="str">
        <f t="shared" si="439"/>
        <v>SPS3</v>
      </c>
      <c r="C705" s="9" t="s">
        <v>7</v>
      </c>
      <c r="D705" s="2" t="s">
        <v>425</v>
      </c>
      <c r="E705" s="9" t="s">
        <v>8</v>
      </c>
      <c r="F705" s="1">
        <f>[1]Other_transformation!B$38</f>
        <v>1.2890839341673759</v>
      </c>
      <c r="G705" s="1">
        <f>[1]Other_transformation!C$38</f>
        <v>4.8202751670313351</v>
      </c>
      <c r="H705" s="1">
        <f>[1]Other_transformation!D$38</f>
        <v>4.8203393942055319</v>
      </c>
      <c r="I705" s="1">
        <f>[1]Other_transformation!E$38</f>
        <v>5.706018053142385</v>
      </c>
      <c r="J705" s="1">
        <f>[1]Other_transformation!F$38</f>
        <v>12.673347094679746</v>
      </c>
      <c r="K705" s="1">
        <f>[1]Other_transformation!G$38</f>
        <v>15.544887567279712</v>
      </c>
    </row>
    <row r="706" spans="2:11" x14ac:dyDescent="0.35">
      <c r="B706" s="9" t="str">
        <f t="shared" si="439"/>
        <v>SPS3</v>
      </c>
      <c r="C706" s="9" t="s">
        <v>7</v>
      </c>
      <c r="D706" s="2" t="s">
        <v>426</v>
      </c>
      <c r="E706" s="9" t="s">
        <v>8</v>
      </c>
      <c r="F706" s="14">
        <f t="shared" ref="F706:K706" si="447">F704/F705</f>
        <v>0.91265054871925866</v>
      </c>
      <c r="G706" s="14">
        <f t="shared" si="447"/>
        <v>0.91265054871925833</v>
      </c>
      <c r="H706" s="14">
        <f t="shared" si="447"/>
        <v>0.91265054871925722</v>
      </c>
      <c r="I706" s="14">
        <f t="shared" si="447"/>
        <v>0.91265054871925899</v>
      </c>
      <c r="J706" s="14">
        <f t="shared" si="447"/>
        <v>0.91265054871926066</v>
      </c>
      <c r="K706" s="14">
        <f t="shared" si="447"/>
        <v>0.91265054871925888</v>
      </c>
    </row>
    <row r="707" spans="2:11" x14ac:dyDescent="0.35">
      <c r="B707" s="9" t="str">
        <f t="shared" si="439"/>
        <v>SPS3</v>
      </c>
      <c r="C707" s="9" t="s">
        <v>6</v>
      </c>
      <c r="D707" s="2" t="s">
        <v>474</v>
      </c>
      <c r="E707" s="9" t="s">
        <v>8</v>
      </c>
      <c r="F707" s="17" cm="1">
        <f t="array" ref="F707">SUMPRODUCT(("CT_CWODPLT"=[1]OUT_SyntheticFuels!$C$4:$C$1000)*1,("Var_Fout"=[1]OUT_SyntheticFuels!$B$4:$B$1000)*1,[1]OUT_SyntheticFuels!E$4:E$1000)</f>
        <v>5.9797648918383013</v>
      </c>
      <c r="G707" s="17" cm="1">
        <f t="array" ref="G707">SUMPRODUCT(("CT_CWODPLT"=[1]OUT_SyntheticFuels!$C$4:$C$1000)*1,("Var_Fout"=[1]OUT_SyntheticFuels!$B$4:$B$1000)*1,[1]OUT_SyntheticFuels!F$4:F$1000)</f>
        <v>6.969713323068583</v>
      </c>
      <c r="H707" s="17" cm="1">
        <f t="array" ref="H707">SUMPRODUCT(("CT_CWODPLT"=[1]OUT_SyntheticFuels!$C$4:$C$1000)*1,("Var_Fout"=[1]OUT_SyntheticFuels!$B$4:$B$1000)*1,[1]OUT_SyntheticFuels!G$4:G$1000)</f>
        <v>1.3752287068128362</v>
      </c>
      <c r="I707" s="17" cm="1">
        <f t="array" ref="I707">SUMPRODUCT(("CT_CWODPLT"=[1]OUT_SyntheticFuels!$C$4:$C$1000)*1,("Var_Fout"=[1]OUT_SyntheticFuels!$B$4:$B$1000)*1,[1]OUT_SyntheticFuels!H$4:H$1000)</f>
        <v>1.2901134633141742</v>
      </c>
      <c r="J707" s="17" cm="1">
        <f t="array" ref="J707">SUMPRODUCT(("CT_CWODPLT"=[1]OUT_SyntheticFuels!$C$4:$C$1000)*1,("Var_Fout"=[1]OUT_SyntheticFuels!$B$4:$B$1000)*1,[1]OUT_SyntheticFuels!I$4:I$1000)</f>
        <v>4.4025577248345362</v>
      </c>
      <c r="K707" s="17" cm="1">
        <f t="array" ref="K707">SUMPRODUCT(("CT_CWODPLT"=[1]OUT_SyntheticFuels!$C$4:$C$1000)*1,("Var_Fout"=[1]OUT_SyntheticFuels!$B$4:$B$1000)*1,[1]OUT_SyntheticFuels!J$4:J$1000)</f>
        <v>5.6465144315259916</v>
      </c>
    </row>
    <row r="708" spans="2:11" x14ac:dyDescent="0.35">
      <c r="B708" s="5" t="str">
        <f t="shared" si="439"/>
        <v>SPS3</v>
      </c>
      <c r="C708" s="5" t="str">
        <f>C707</f>
        <v>SPS1</v>
      </c>
      <c r="D708" t="s">
        <v>491</v>
      </c>
      <c r="E708" s="5" t="s">
        <v>8</v>
      </c>
      <c r="F708" s="18">
        <f>F707</f>
        <v>5.9797648918383013</v>
      </c>
      <c r="G708" s="18">
        <f t="shared" ref="G708:K708" si="448">G707</f>
        <v>6.969713323068583</v>
      </c>
      <c r="H708" s="18">
        <f t="shared" si="448"/>
        <v>1.3752287068128362</v>
      </c>
      <c r="I708" s="18">
        <f t="shared" si="448"/>
        <v>1.2901134633141742</v>
      </c>
      <c r="J708" s="18">
        <f t="shared" si="448"/>
        <v>4.4025577248345362</v>
      </c>
      <c r="K708" s="18">
        <f t="shared" si="448"/>
        <v>5.6465144315259916</v>
      </c>
    </row>
    <row r="709" spans="2:11" x14ac:dyDescent="0.35">
      <c r="B709" s="9" t="str">
        <f t="shared" si="439"/>
        <v>SPS3</v>
      </c>
      <c r="C709" s="9" t="s">
        <v>6</v>
      </c>
      <c r="D709" s="2" t="s">
        <v>475</v>
      </c>
      <c r="E709" s="9" t="s">
        <v>8</v>
      </c>
      <c r="F709" s="17" cm="1">
        <f t="array" ref="F709">SUMPRODUCT(("CT_CWODPLT"=[1]OUT_SyntheticFuels!$C$4:$C$1000)*1,("Var_Fin"=[1]OUT_SyntheticFuels!$B$4:$B$1000)*1,[1]OUT_SyntheticFuels!E$4:E$1000)</f>
        <v>7.1187677283789306</v>
      </c>
      <c r="G709" s="17" cm="1">
        <f t="array" ref="G709">SUMPRODUCT(("CT_CWODPLT"=[1]OUT_SyntheticFuels!$C$4:$C$1000)*1,("Var_Fin"=[1]OUT_SyntheticFuels!$B$4:$B$1000)*1,[1]OUT_SyntheticFuels!F$4:F$1000)</f>
        <v>8.2972777655578316</v>
      </c>
      <c r="H709" s="17" cm="1">
        <f t="array" ref="H709">SUMPRODUCT(("CT_CWODPLT"=[1]OUT_SyntheticFuels!$C$4:$C$1000)*1,("Var_Fin"=[1]OUT_SyntheticFuels!$B$4:$B$1000)*1,[1]OUT_SyntheticFuels!G$4:G$1000)</f>
        <v>1.6371770319200445</v>
      </c>
      <c r="I709" s="17" cm="1">
        <f t="array" ref="I709">SUMPRODUCT(("CT_CWODPLT"=[1]OUT_SyntheticFuels!$C$4:$C$1000)*1,("Var_Fin"=[1]OUT_SyntheticFuels!$B$4:$B$1000)*1,[1]OUT_SyntheticFuels!H$4:H$1000)</f>
        <v>1.5358493610883039</v>
      </c>
      <c r="J709" s="17" cm="1">
        <f t="array" ref="J709">SUMPRODUCT(("CT_CWODPLT"=[1]OUT_SyntheticFuels!$C$4:$C$1000)*1,("Var_Fin"=[1]OUT_SyntheticFuels!$B$4:$B$1000)*1,[1]OUT_SyntheticFuels!I$4:I$1000)</f>
        <v>5.2411401486125424</v>
      </c>
      <c r="K709" s="17" cm="1">
        <f t="array" ref="K709">SUMPRODUCT(("CT_CWODPLT"=[1]OUT_SyntheticFuels!$C$4:$C$1000)*1,("Var_Fin"=[1]OUT_SyntheticFuels!$B$4:$B$1000)*1,[1]OUT_SyntheticFuels!J$4:J$1000)</f>
        <v>6.7220409899118909</v>
      </c>
    </row>
    <row r="710" spans="2:11" x14ac:dyDescent="0.35">
      <c r="B710" s="5" t="str">
        <f t="shared" si="439"/>
        <v>SPS3</v>
      </c>
      <c r="C710" s="5" t="str">
        <f>C709</f>
        <v>SPS1</v>
      </c>
      <c r="D710" s="5" t="s">
        <v>490</v>
      </c>
      <c r="E710" s="5" t="str">
        <f>E709</f>
        <v>PJ/yr.</v>
      </c>
      <c r="F710" s="18">
        <f t="shared" ref="F710:K710" si="449">F709</f>
        <v>7.1187677283789306</v>
      </c>
      <c r="G710" s="18">
        <f t="shared" si="449"/>
        <v>8.2972777655578316</v>
      </c>
      <c r="H710" s="18">
        <f t="shared" si="449"/>
        <v>1.6371770319200445</v>
      </c>
      <c r="I710" s="18">
        <f t="shared" si="449"/>
        <v>1.5358493610883039</v>
      </c>
      <c r="J710" s="18">
        <f t="shared" si="449"/>
        <v>5.2411401486125424</v>
      </c>
      <c r="K710" s="18">
        <f t="shared" si="449"/>
        <v>6.7220409899118909</v>
      </c>
    </row>
    <row r="711" spans="2:11" x14ac:dyDescent="0.35">
      <c r="B711" s="9" t="str">
        <f t="shared" si="439"/>
        <v>SPS3</v>
      </c>
      <c r="C711" s="9" t="s">
        <v>6</v>
      </c>
      <c r="D711" s="2" t="s">
        <v>476</v>
      </c>
      <c r="E711" s="9" t="s">
        <v>240</v>
      </c>
      <c r="F711" s="14">
        <f t="shared" ref="F711:K711" si="450">IFERROR(F707/F709,"-")</f>
        <v>0.84</v>
      </c>
      <c r="G711" s="14">
        <f t="shared" si="450"/>
        <v>0.84000000000000052</v>
      </c>
      <c r="H711" s="14">
        <f t="shared" si="450"/>
        <v>0.8399999999999993</v>
      </c>
      <c r="I711" s="14">
        <f t="shared" si="450"/>
        <v>0.8399999999999993</v>
      </c>
      <c r="J711" s="14">
        <f t="shared" si="450"/>
        <v>0.84000000000000008</v>
      </c>
      <c r="K711" s="14">
        <f t="shared" si="450"/>
        <v>0.84000000000000052</v>
      </c>
    </row>
    <row r="712" spans="2:11" x14ac:dyDescent="0.35">
      <c r="B712" s="9" t="str">
        <f t="shared" si="439"/>
        <v>SPS3</v>
      </c>
      <c r="C712" s="9" t="str">
        <f>C706</f>
        <v>CH</v>
      </c>
      <c r="D712" s="2" t="s">
        <v>431</v>
      </c>
      <c r="E712" s="9" t="s">
        <v>8</v>
      </c>
      <c r="F712" s="17">
        <f>F713+F715</f>
        <v>0</v>
      </c>
      <c r="G712" s="17">
        <f t="shared" ref="G712:K712" si="451">G713+G715</f>
        <v>0</v>
      </c>
      <c r="H712" s="17">
        <f t="shared" si="451"/>
        <v>0</v>
      </c>
      <c r="I712" s="17">
        <f t="shared" si="451"/>
        <v>0</v>
      </c>
      <c r="J712" s="17">
        <f t="shared" si="451"/>
        <v>3.9899194636981576</v>
      </c>
      <c r="K712" s="17">
        <f t="shared" si="451"/>
        <v>4.0295785780944247</v>
      </c>
    </row>
    <row r="713" spans="2:11" x14ac:dyDescent="0.35">
      <c r="B713" s="5" t="str">
        <f t="shared" si="439"/>
        <v>SPS3</v>
      </c>
      <c r="C713" s="5" t="str">
        <f>C706</f>
        <v>CH</v>
      </c>
      <c r="D713" t="s">
        <v>927</v>
      </c>
      <c r="E713" s="5" t="s">
        <v>8</v>
      </c>
      <c r="F713" s="18">
        <f>F714</f>
        <v>0</v>
      </c>
      <c r="G713" s="18">
        <f t="shared" ref="G713:K713" si="452">G714</f>
        <v>0</v>
      </c>
      <c r="H713" s="18">
        <f t="shared" si="452"/>
        <v>0</v>
      </c>
      <c r="I713" s="18">
        <f t="shared" si="452"/>
        <v>0</v>
      </c>
      <c r="J713" s="18">
        <f t="shared" si="452"/>
        <v>0.76947497230870421</v>
      </c>
      <c r="K713" s="18">
        <f t="shared" si="452"/>
        <v>0.29525923779415242</v>
      </c>
    </row>
    <row r="714" spans="2:11" x14ac:dyDescent="0.35">
      <c r="B714" s="5" t="str">
        <f t="shared" si="439"/>
        <v>SPS3</v>
      </c>
      <c r="C714" s="5" t="str">
        <f t="shared" ref="C714:C716" si="453">C712</f>
        <v>CH</v>
      </c>
      <c r="D714" t="s">
        <v>427</v>
      </c>
      <c r="E714" s="5" t="s">
        <v>8</v>
      </c>
      <c r="F714" s="18" cm="1">
        <f t="array" ref="F714">SUMPRODUCT(("SUP_H2NGA"=[1]OUT_SyntheticFuels!$C$4:$C$1000)*1,("NGA"=[1]OUT_SyntheticFuels!$A$4:$A$1000)*1,("Var_Fout"=[1]OUT_SyntheticFuels!$B$4:$B$1000)*1,[1]OUT_SyntheticFuels!E$4:E$1000)</f>
        <v>0</v>
      </c>
      <c r="G714" s="18" cm="1">
        <f t="array" ref="G714">SUMPRODUCT(("SUP_H2NGA"=[1]OUT_SyntheticFuels!$C$4:$C$1000)*1,("NGA"=[1]OUT_SyntheticFuels!$A$4:$A$1000)*1,("Var_Fout"=[1]OUT_SyntheticFuels!$B$4:$B$1000)*1,[1]OUT_SyntheticFuels!F$4:F$1000)</f>
        <v>0</v>
      </c>
      <c r="H714" s="18" cm="1">
        <f t="array" ref="H714">SUMPRODUCT(("SUP_H2NGA"=[1]OUT_SyntheticFuels!$C$4:$C$1000)*1,("NGA"=[1]OUT_SyntheticFuels!$A$4:$A$1000)*1,("Var_Fout"=[1]OUT_SyntheticFuels!$B$4:$B$1000)*1,[1]OUT_SyntheticFuels!G$4:G$1000)</f>
        <v>0</v>
      </c>
      <c r="I714" s="18" cm="1">
        <f t="array" ref="I714">SUMPRODUCT(("SUP_H2NGA"=[1]OUT_SyntheticFuels!$C$4:$C$1000)*1,("NGA"=[1]OUT_SyntheticFuels!$A$4:$A$1000)*1,("Var_Fout"=[1]OUT_SyntheticFuels!$B$4:$B$1000)*1,[1]OUT_SyntheticFuels!H$4:H$1000)</f>
        <v>0</v>
      </c>
      <c r="J714" s="18" cm="1">
        <f t="array" ref="J714">SUMPRODUCT(("SUP_H2NGA"=[1]OUT_SyntheticFuels!$C$4:$C$1000)*1,("NGA"=[1]OUT_SyntheticFuels!$A$4:$A$1000)*1,("Var_Fout"=[1]OUT_SyntheticFuels!$B$4:$B$1000)*1,[1]OUT_SyntheticFuels!I$4:I$1000)</f>
        <v>0.76947497230870421</v>
      </c>
      <c r="K714" s="18" cm="1">
        <f t="array" ref="K714">SUMPRODUCT(("SUP_H2NGA"=[1]OUT_SyntheticFuels!$C$4:$C$1000)*1,("NGA"=[1]OUT_SyntheticFuels!$A$4:$A$1000)*1,("Var_Fout"=[1]OUT_SyntheticFuels!$B$4:$B$1000)*1,[1]OUT_SyntheticFuels!J$4:J$1000)</f>
        <v>0.29525923779415242</v>
      </c>
    </row>
    <row r="715" spans="2:11" x14ac:dyDescent="0.35">
      <c r="B715" s="5" t="str">
        <f t="shared" si="439"/>
        <v>SPS3</v>
      </c>
      <c r="C715" s="5" t="str">
        <f t="shared" si="453"/>
        <v>CH</v>
      </c>
      <c r="D715" t="s">
        <v>928</v>
      </c>
      <c r="E715" s="5" t="s">
        <v>8</v>
      </c>
      <c r="F715" s="18">
        <f>SUM(F716:F718)</f>
        <v>0</v>
      </c>
      <c r="G715" s="18">
        <f t="shared" ref="G715:K715" si="454">SUM(G716:G718)</f>
        <v>0</v>
      </c>
      <c r="H715" s="18">
        <f t="shared" si="454"/>
        <v>0</v>
      </c>
      <c r="I715" s="18">
        <f t="shared" si="454"/>
        <v>0</v>
      </c>
      <c r="J715" s="18">
        <f t="shared" si="454"/>
        <v>3.2204444913894532</v>
      </c>
      <c r="K715" s="18">
        <f t="shared" si="454"/>
        <v>3.7343193403002726</v>
      </c>
    </row>
    <row r="716" spans="2:11" x14ac:dyDescent="0.35">
      <c r="B716" s="5" t="str">
        <f t="shared" si="439"/>
        <v>SPS3</v>
      </c>
      <c r="C716" s="5" t="str">
        <f t="shared" si="453"/>
        <v>CH</v>
      </c>
      <c r="D716" t="s">
        <v>428</v>
      </c>
      <c r="E716" s="5" t="s">
        <v>8</v>
      </c>
      <c r="F716" s="18" cm="1">
        <f t="array" ref="F716">SUMPRODUCT(("SUP_H2DSL"=[1]OUT_SyntheticFuels!$C$4:$C$1000)*1,("DSL"=[1]OUT_SyntheticFuels!$A$4:$A$1000)*1,("Var_Fout"=[1]OUT_SyntheticFuels!$B$4:$B$1000)*1,[1]OUT_SyntheticFuels!E$4:E$1000)</f>
        <v>0</v>
      </c>
      <c r="G716" s="18" cm="1">
        <f t="array" ref="G716">SUMPRODUCT(("SUP_H2DSL"=[1]OUT_SyntheticFuels!$C$4:$C$1000)*1,("DSL"=[1]OUT_SyntheticFuels!$A$4:$A$1000)*1,("Var_Fout"=[1]OUT_SyntheticFuels!$B$4:$B$1000)*1,[1]OUT_SyntheticFuels!F$4:F$1000)</f>
        <v>0</v>
      </c>
      <c r="H716" s="18" cm="1">
        <f t="array" ref="H716">SUMPRODUCT(("SUP_H2DSL"=[1]OUT_SyntheticFuels!$C$4:$C$1000)*1,("DSL"=[1]OUT_SyntheticFuels!$A$4:$A$1000)*1,("Var_Fout"=[1]OUT_SyntheticFuels!$B$4:$B$1000)*1,[1]OUT_SyntheticFuels!G$4:G$1000)</f>
        <v>0</v>
      </c>
      <c r="I716" s="18" cm="1">
        <f t="array" ref="I716">SUMPRODUCT(("SUP_H2DSL"=[1]OUT_SyntheticFuels!$C$4:$C$1000)*1,("DSL"=[1]OUT_SyntheticFuels!$A$4:$A$1000)*1,("Var_Fout"=[1]OUT_SyntheticFuels!$B$4:$B$1000)*1,[1]OUT_SyntheticFuels!H$4:H$1000)</f>
        <v>0</v>
      </c>
      <c r="J716" s="18" cm="1">
        <f t="array" ref="J716">SUMPRODUCT(("SUP_H2DSL"=[1]OUT_SyntheticFuels!$C$4:$C$1000)*1,("DSL"=[1]OUT_SyntheticFuels!$A$4:$A$1000)*1,("Var_Fout"=[1]OUT_SyntheticFuels!$B$4:$B$1000)*1,[1]OUT_SyntheticFuels!I$4:I$1000)</f>
        <v>3.4979370344628974E-3</v>
      </c>
      <c r="K716" s="18" cm="1">
        <f t="array" ref="K716">SUMPRODUCT(("SUP_H2DSL"=[1]OUT_SyntheticFuels!$C$4:$C$1000)*1,("DSL"=[1]OUT_SyntheticFuels!$A$4:$A$1000)*1,("Var_Fout"=[1]OUT_SyntheticFuels!$B$4:$B$1000)*1,[1]OUT_SyntheticFuels!J$4:J$1000)</f>
        <v>3.2730482142756201</v>
      </c>
    </row>
    <row r="717" spans="2:11" x14ac:dyDescent="0.35">
      <c r="B717" s="5" t="str">
        <f t="shared" si="439"/>
        <v>SPS3</v>
      </c>
      <c r="C717" s="5" t="str">
        <f t="shared" ref="C717:C719" si="455">C716</f>
        <v>CH</v>
      </c>
      <c r="D717" t="s">
        <v>429</v>
      </c>
      <c r="E717" s="5" t="s">
        <v>8</v>
      </c>
      <c r="F717" s="18" cm="1">
        <f t="array" ref="F717">SUMPRODUCT(("SUP_H2gsl"=[1]OUT_SyntheticFuels!$C$4:$C$1000)*1,("gsl"=[1]OUT_SyntheticFuels!$A$4:$A$1000)*1,("Var_Fout"=[1]OUT_SyntheticFuels!$B$4:$B$1000)*1,[1]OUT_SyntheticFuels!E$4:E$1000)</f>
        <v>0</v>
      </c>
      <c r="G717" s="18" cm="1">
        <f t="array" ref="G717">SUMPRODUCT(("SUP_H2gsl"=[1]OUT_SyntheticFuels!$C$4:$C$1000)*1,("gsl"=[1]OUT_SyntheticFuels!$A$4:$A$1000)*1,("Var_Fout"=[1]OUT_SyntheticFuels!$B$4:$B$1000)*1,[1]OUT_SyntheticFuels!F$4:F$1000)</f>
        <v>0</v>
      </c>
      <c r="H717" s="18" cm="1">
        <f t="array" ref="H717">SUMPRODUCT(("SUP_H2gsl"=[1]OUT_SyntheticFuels!$C$4:$C$1000)*1,("gsl"=[1]OUT_SyntheticFuels!$A$4:$A$1000)*1,("Var_Fout"=[1]OUT_SyntheticFuels!$B$4:$B$1000)*1,[1]OUT_SyntheticFuels!G$4:G$1000)</f>
        <v>0</v>
      </c>
      <c r="I717" s="18" cm="1">
        <f t="array" ref="I717">SUMPRODUCT(("SUP_H2gsl"=[1]OUT_SyntheticFuels!$C$4:$C$1000)*1,("gsl"=[1]OUT_SyntheticFuels!$A$4:$A$1000)*1,("Var_Fout"=[1]OUT_SyntheticFuels!$B$4:$B$1000)*1,[1]OUT_SyntheticFuels!H$4:H$1000)</f>
        <v>0</v>
      </c>
      <c r="J717" s="18" cm="1">
        <f t="array" ref="J717">SUMPRODUCT(("SUP_H2gsl"=[1]OUT_SyntheticFuels!$C$4:$C$1000)*1,("gsl"=[1]OUT_SyntheticFuels!$A$4:$A$1000)*1,("Var_Fout"=[1]OUT_SyntheticFuels!$B$4:$B$1000)*1,[1]OUT_SyntheticFuels!I$4:I$1000)</f>
        <v>3.2165216834950434</v>
      </c>
      <c r="K717" s="18" cm="1">
        <f t="array" ref="K717">SUMPRODUCT(("SUP_H2gsl"=[1]OUT_SyntheticFuels!$C$4:$C$1000)*1,("gsl"=[1]OUT_SyntheticFuels!$A$4:$A$1000)*1,("Var_Fout"=[1]OUT_SyntheticFuels!$B$4:$B$1000)*1,[1]OUT_SyntheticFuels!J$4:J$1000)</f>
        <v>0.46127112602465253</v>
      </c>
    </row>
    <row r="718" spans="2:11" x14ac:dyDescent="0.35">
      <c r="B718" s="5" t="str">
        <f t="shared" si="439"/>
        <v>SPS3</v>
      </c>
      <c r="C718" s="5" t="str">
        <f t="shared" si="455"/>
        <v>CH</v>
      </c>
      <c r="D718" t="s">
        <v>430</v>
      </c>
      <c r="E718" s="5" t="s">
        <v>8</v>
      </c>
      <c r="F718" s="18" cm="1">
        <f t="array" ref="F718">SUMPRODUCT(("SUP_H2DSL"=[1]OUT_SyntheticFuels!$C$4:$C$1000)*1,("KER"=[1]OUT_SyntheticFuels!$A$4:$A$1000)*1,("Var_Fout"=[1]OUT_SyntheticFuels!$B$4:$B$1000)*1,[1]OUT_SyntheticFuels!E$4:E$1000)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SUMPRODUCT(("SUP_H2DSL"=[1]OUT_SyntheticFuels!$C$4:$C$1000)*1,("KER"=[1]OUT_SyntheticFuels!$A$4:$A$1000)*1,("Var_Fout"=[1]OUT_SyntheticFuels!$B$4:$B$1000)*1,[1]OUT_SyntheticFuels!F$4:F$1000)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SUMPRODUCT(("SUP_H2DSL"=[1]OUT_SyntheticFuels!$C$4:$C$1000)*1,("KER"=[1]OUT_SyntheticFuels!$A$4:$A$1000)*1,("Var_Fout"=[1]OUT_SyntheticFuels!$B$4:$B$1000)*1,[1]OUT_SyntheticFuels!G$4:G$1000)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SUMPRODUCT(("SUP_H2DSL"=[1]OUT_SyntheticFuels!$C$4:$C$1000)*1,("KER"=[1]OUT_SyntheticFuels!$A$4:$A$1000)*1,("Var_Fout"=[1]OUT_SyntheticFuels!$B$4:$B$1000)*1,[1]OUT_SyntheticFuels!H$4:H$1000)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SUMPRODUCT(("SUP_H2DSL"=[1]OUT_SyntheticFuels!$C$4:$C$1000)*1,("KER"=[1]OUT_SyntheticFuels!$A$4:$A$1000)*1,("Var_Fout"=[1]OUT_SyntheticFuels!$B$4:$B$1000)*1,[1]OUT_SyntheticFuels!I$4:I$1000)</f>
        <v>4.2487085994715281E-4</v>
      </c>
      <c r="K718" s="18" cm="1">
        <f t="array" ref="K718">SUMPRODUCT(("SUP_H2DSL"=[1]OUT_SyntheticFuels!$C$4:$C$1000)*1,("KER"=[1]OUT_SyntheticFuels!$A$4:$A$1000)*1,("Var_Fout"=[1]OUT_SyntheticFuels!$B$4:$B$1000)*1,[1]OUT_SyntheticFuels!J$4:J$1000)</f>
        <v>0</v>
      </c>
    </row>
    <row r="719" spans="2:11" x14ac:dyDescent="0.35">
      <c r="B719" s="9" t="str">
        <f t="shared" si="439"/>
        <v>SPS3</v>
      </c>
      <c r="C719" s="9" t="str">
        <f t="shared" si="455"/>
        <v>CH</v>
      </c>
      <c r="D719" s="2" t="s">
        <v>434</v>
      </c>
      <c r="E719" s="9" t="s">
        <v>8</v>
      </c>
      <c r="F719" s="17">
        <f>F720</f>
        <v>0</v>
      </c>
      <c r="G719" s="17">
        <f t="shared" ref="G719:K719" si="456">G720</f>
        <v>0</v>
      </c>
      <c r="H719" s="17">
        <f t="shared" si="456"/>
        <v>0</v>
      </c>
      <c r="I719" s="17">
        <f t="shared" si="456"/>
        <v>0</v>
      </c>
      <c r="J719" s="17">
        <f t="shared" si="456"/>
        <v>5.6029022233350068</v>
      </c>
      <c r="K719" s="17">
        <f t="shared" si="456"/>
        <v>9.1041067872671526</v>
      </c>
    </row>
    <row r="720" spans="2:11" x14ac:dyDescent="0.35">
      <c r="B720" s="5" t="str">
        <f t="shared" si="439"/>
        <v>SPS3</v>
      </c>
      <c r="C720" s="5" t="str">
        <f t="shared" ref="C720:C726" si="457">C719</f>
        <v>CH</v>
      </c>
      <c r="D720" t="s">
        <v>929</v>
      </c>
      <c r="E720" s="5" t="s">
        <v>8</v>
      </c>
      <c r="F720" s="18">
        <f>SUM(F721,F723)</f>
        <v>0</v>
      </c>
      <c r="G720" s="18">
        <f t="shared" ref="G720:K720" si="458">SUM(G721,G723)</f>
        <v>0</v>
      </c>
      <c r="H720" s="18">
        <f t="shared" si="458"/>
        <v>0</v>
      </c>
      <c r="I720" s="18">
        <f t="shared" si="458"/>
        <v>0</v>
      </c>
      <c r="J720" s="18">
        <f t="shared" si="458"/>
        <v>5.6029022233350068</v>
      </c>
      <c r="K720" s="18">
        <f t="shared" si="458"/>
        <v>9.1041067872671526</v>
      </c>
    </row>
    <row r="721" spans="2:13" x14ac:dyDescent="0.35">
      <c r="B721" s="5" t="str">
        <f t="shared" si="439"/>
        <v>SPS3</v>
      </c>
      <c r="C721" s="5" t="str">
        <f t="shared" si="457"/>
        <v>CH</v>
      </c>
      <c r="D721" t="s">
        <v>930</v>
      </c>
      <c r="E721" s="5" t="s">
        <v>8</v>
      </c>
      <c r="F721" s="18">
        <f>F722</f>
        <v>0</v>
      </c>
      <c r="G721" s="18">
        <f t="shared" ref="G721:K721" si="459">G722</f>
        <v>0</v>
      </c>
      <c r="H721" s="18">
        <f t="shared" si="459"/>
        <v>0</v>
      </c>
      <c r="I721" s="18">
        <f t="shared" si="459"/>
        <v>0</v>
      </c>
      <c r="J721" s="18">
        <f t="shared" si="459"/>
        <v>0.99931814585546064</v>
      </c>
      <c r="K721" s="18">
        <f t="shared" si="459"/>
        <v>0.38345355557682187</v>
      </c>
    </row>
    <row r="722" spans="2:13" x14ac:dyDescent="0.35">
      <c r="B722" s="5" t="str">
        <f t="shared" si="439"/>
        <v>SPS3</v>
      </c>
      <c r="C722" s="5" t="str">
        <f t="shared" si="457"/>
        <v>CH</v>
      </c>
      <c r="D722" t="s">
        <v>433</v>
      </c>
      <c r="E722" s="5" t="s">
        <v>8</v>
      </c>
      <c r="F722" s="10" cm="1">
        <f t="array" ref="F722">SUMPRODUCT(("SUP_H2NGA"=[1]OUT_SyntheticFuels!$C$4:$C$1000)*1,("H2"=[1]OUT_SyntheticFuels!$A$4:$A$1000)*1,("Var_Fin"=[1]OUT_SyntheticFuels!$B$4:$B$1000)*1,[1]OUT_SyntheticFuels!E$4:E$1000)</f>
        <v>0</v>
      </c>
      <c r="G722" s="10" cm="1">
        <f t="array" ref="G722">SUMPRODUCT(("SUP_H2NGA"=[1]OUT_SyntheticFuels!$C$4:$C$1000)*1,("H2"=[1]OUT_SyntheticFuels!$A$4:$A$1000)*1,("Var_Fin"=[1]OUT_SyntheticFuels!$B$4:$B$1000)*1,[1]OUT_SyntheticFuels!F$4:F$1000)</f>
        <v>0</v>
      </c>
      <c r="H722" s="10" cm="1">
        <f t="array" ref="H722">SUMPRODUCT(("SUP_H2NGA"=[1]OUT_SyntheticFuels!$C$4:$C$1000)*1,("H2"=[1]OUT_SyntheticFuels!$A$4:$A$1000)*1,("Var_Fin"=[1]OUT_SyntheticFuels!$B$4:$B$1000)*1,[1]OUT_SyntheticFuels!G$4:G$1000)</f>
        <v>0</v>
      </c>
      <c r="I722" s="10" cm="1">
        <f t="array" ref="I722">SUMPRODUCT(("SUP_H2NGA"=[1]OUT_SyntheticFuels!$C$4:$C$1000)*1,("H2"=[1]OUT_SyntheticFuels!$A$4:$A$1000)*1,("Var_Fin"=[1]OUT_SyntheticFuels!$B$4:$B$1000)*1,[1]OUT_SyntheticFuels!H$4:H$1000)</f>
        <v>0</v>
      </c>
      <c r="J722" s="10" cm="1">
        <f t="array" ref="J722">SUMPRODUCT(("SUP_H2NGA"=[1]OUT_SyntheticFuels!$C$4:$C$1000)*1,("H2"=[1]OUT_SyntheticFuels!$A$4:$A$1000)*1,("Var_Fin"=[1]OUT_SyntheticFuels!$B$4:$B$1000)*1,[1]OUT_SyntheticFuels!I$4:I$1000)</f>
        <v>0.99931814585546064</v>
      </c>
      <c r="K722" s="10" cm="1">
        <f t="array" ref="K722">SUMPRODUCT(("SUP_H2NGA"=[1]OUT_SyntheticFuels!$C$4:$C$1000)*1,("H2"=[1]OUT_SyntheticFuels!$A$4:$A$1000)*1,("Var_Fin"=[1]OUT_SyntheticFuels!$B$4:$B$1000)*1,[1]OUT_SyntheticFuels!J$4:J$1000)</f>
        <v>0.38345355557682187</v>
      </c>
    </row>
    <row r="723" spans="2:13" x14ac:dyDescent="0.35">
      <c r="B723" s="5" t="str">
        <f t="shared" si="439"/>
        <v>SPS3</v>
      </c>
      <c r="C723" s="5" t="str">
        <f t="shared" si="457"/>
        <v>CH</v>
      </c>
      <c r="D723" t="s">
        <v>931</v>
      </c>
      <c r="E723" s="5" t="s">
        <v>8</v>
      </c>
      <c r="F723" s="18">
        <f>SUM(F724:F726)</f>
        <v>0</v>
      </c>
      <c r="G723" s="18">
        <f t="shared" ref="G723:K723" si="460">SUM(G724:G726)</f>
        <v>0</v>
      </c>
      <c r="H723" s="18">
        <f t="shared" si="460"/>
        <v>0</v>
      </c>
      <c r="I723" s="18">
        <f t="shared" si="460"/>
        <v>0</v>
      </c>
      <c r="J723" s="18">
        <f t="shared" si="460"/>
        <v>4.603584077479546</v>
      </c>
      <c r="K723" s="18">
        <f t="shared" si="460"/>
        <v>8.7206532316903314</v>
      </c>
    </row>
    <row r="724" spans="2:13" x14ac:dyDescent="0.35">
      <c r="B724" s="5" t="str">
        <f t="shared" si="439"/>
        <v>SPS3</v>
      </c>
      <c r="C724" s="5" t="str">
        <f t="shared" si="457"/>
        <v>CH</v>
      </c>
      <c r="D724" t="s">
        <v>448</v>
      </c>
      <c r="E724" s="5" t="s">
        <v>8</v>
      </c>
      <c r="F724" s="10" cm="1">
        <f t="array" ref="F724">SUMPRODUCT(("SUP_H2DSL"=[1]OUT_SyntheticFuels!$C$4:$C$1000)*1,("H2"=[1]OUT_SyntheticFuels!$A$4:$A$1000)*1,("Var_Fin"=[1]OUT_SyntheticFuels!$B$4:$B$1000)*1,[1]OUT_SyntheticFuels!E$4:E$1000)*IFERROR(F716/SUM(F716,F718),0)</f>
        <v>0</v>
      </c>
      <c r="G724" s="10" cm="1">
        <f t="array" ref="G724">SUMPRODUCT(("SUP_H2DSL"=[1]OUT_SyntheticFuels!$C$4:$C$1000)*1,("H2"=[1]OUT_SyntheticFuels!$A$4:$A$1000)*1,("Var_Fin"=[1]OUT_SyntheticFuels!$B$4:$B$1000)*1,[1]OUT_SyntheticFuels!F$4:F$1000)*IFERROR(G716/SUM(G716,G718),0)</f>
        <v>0</v>
      </c>
      <c r="H724" s="10" cm="1">
        <f t="array" ref="H724">SUMPRODUCT(("SUP_H2DSL"=[1]OUT_SyntheticFuels!$C$4:$C$1000)*1,("H2"=[1]OUT_SyntheticFuels!$A$4:$A$1000)*1,("Var_Fin"=[1]OUT_SyntheticFuels!$B$4:$B$1000)*1,[1]OUT_SyntheticFuels!G$4:G$1000)*IFERROR(H716/SUM(H716,H718),0)</f>
        <v>0</v>
      </c>
      <c r="I724" s="10" cm="1">
        <f t="array" ref="I724">SUMPRODUCT(("SUP_H2DSL"=[1]OUT_SyntheticFuels!$C$4:$C$1000)*1,("H2"=[1]OUT_SyntheticFuels!$A$4:$A$1000)*1,("Var_Fin"=[1]OUT_SyntheticFuels!$B$4:$B$1000)*1,[1]OUT_SyntheticFuels!H$4:H$1000)*IFERROR(I716/SUM(I716,I718),0)</f>
        <v>0</v>
      </c>
      <c r="J724" s="10" cm="1">
        <f t="array" ref="J724">SUMPRODUCT(("SUP_H2DSL"=[1]OUT_SyntheticFuels!$C$4:$C$1000)*1,("H2"=[1]OUT_SyntheticFuels!$A$4:$A$1000)*1,("Var_Fin"=[1]OUT_SyntheticFuels!$B$4:$B$1000)*1,[1]OUT_SyntheticFuels!I$4:I$1000)*IFERROR(J716/SUM(J716,J718),0)</f>
        <v>7.6267331349784157E-3</v>
      </c>
      <c r="K724" s="10" cm="1">
        <f t="array" ref="K724">SUMPRODUCT(("SUP_H2DSL"=[1]OUT_SyntheticFuels!$C$4:$C$1000)*1,("H2"=[1]OUT_SyntheticFuels!$A$4:$A$1000)*1,("Var_Fin"=[1]OUT_SyntheticFuels!$B$4:$B$1000)*1,[1]OUT_SyntheticFuels!J$4:J$1000)*IFERROR(K716/SUM(K716,K718),0)</f>
        <v>8.0616944802265422</v>
      </c>
    </row>
    <row r="725" spans="2:13" x14ac:dyDescent="0.35">
      <c r="B725" s="5" t="str">
        <f t="shared" si="439"/>
        <v>SPS3</v>
      </c>
      <c r="C725" s="5" t="str">
        <f t="shared" si="457"/>
        <v>CH</v>
      </c>
      <c r="D725" t="s">
        <v>449</v>
      </c>
      <c r="E725" s="5" t="s">
        <v>8</v>
      </c>
      <c r="F725" s="10" cm="1">
        <f t="array" ref="F725">SUMPRODUCT(("SUP_H2GSL"=[1]OUT_SyntheticFuels!$C$4:$C$1000)*1,("H2"=[1]OUT_SyntheticFuels!$A$4:$A$1000)*1,("Var_Fin"=[1]OUT_SyntheticFuels!$B$4:$B$1000)*1,[1]OUT_SyntheticFuels!E$4:E$1000)</f>
        <v>0</v>
      </c>
      <c r="G725" s="10" cm="1">
        <f t="array" ref="G725">SUMPRODUCT(("SUP_H2GSL"=[1]OUT_SyntheticFuels!$C$4:$C$1000)*1,("H2"=[1]OUT_SyntheticFuels!$A$4:$A$1000)*1,("Var_Fin"=[1]OUT_SyntheticFuels!$B$4:$B$1000)*1,[1]OUT_SyntheticFuels!F$4:F$1000)</f>
        <v>0</v>
      </c>
      <c r="H725" s="10" cm="1">
        <f t="array" ref="H725">SUMPRODUCT(("SUP_H2GSL"=[1]OUT_SyntheticFuels!$C$4:$C$1000)*1,("H2"=[1]OUT_SyntheticFuels!$A$4:$A$1000)*1,("Var_Fin"=[1]OUT_SyntheticFuels!$B$4:$B$1000)*1,[1]OUT_SyntheticFuels!G$4:G$1000)</f>
        <v>0</v>
      </c>
      <c r="I725" s="10" cm="1">
        <f t="array" ref="I725">SUMPRODUCT(("SUP_H2GSL"=[1]OUT_SyntheticFuels!$C$4:$C$1000)*1,("H2"=[1]OUT_SyntheticFuels!$A$4:$A$1000)*1,("Var_Fin"=[1]OUT_SyntheticFuels!$B$4:$B$1000)*1,[1]OUT_SyntheticFuels!H$4:H$1000)</f>
        <v>0</v>
      </c>
      <c r="J725" s="10" cm="1">
        <f t="array" ref="J725">SUMPRODUCT(("SUP_H2GSL"=[1]OUT_SyntheticFuels!$C$4:$C$1000)*1,("H2"=[1]OUT_SyntheticFuels!$A$4:$A$1000)*1,("Var_Fin"=[1]OUT_SyntheticFuels!$B$4:$B$1000)*1,[1]OUT_SyntheticFuels!I$4:I$1000)</f>
        <v>4.5950309764214969</v>
      </c>
      <c r="K725" s="10" cm="1">
        <f t="array" ref="K725">SUMPRODUCT(("SUP_H2GSL"=[1]OUT_SyntheticFuels!$C$4:$C$1000)*1,("H2"=[1]OUT_SyntheticFuels!$A$4:$A$1000)*1,("Var_Fin"=[1]OUT_SyntheticFuels!$B$4:$B$1000)*1,[1]OUT_SyntheticFuels!J$4:J$1000)</f>
        <v>0.65895875146378979</v>
      </c>
    </row>
    <row r="726" spans="2:13" x14ac:dyDescent="0.35">
      <c r="B726" s="5" t="str">
        <f t="shared" si="439"/>
        <v>SPS3</v>
      </c>
      <c r="C726" s="5" t="str">
        <f t="shared" si="457"/>
        <v>CH</v>
      </c>
      <c r="D726" t="s">
        <v>450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SUMPRODUCT(("SUP_H2DSL"=[1]OUT_SyntheticFuels!$C$4:$C$1000)*1,("H2"=[1]OUT_SyntheticFuels!$A$4:$A$1000)*1,("Var_Fin"=[1]OUT_SyntheticFuels!$B$4:$B$1000)*1,[1]OUT_SyntheticFuels!E$4:E$1000)-F724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SUMPRODUCT(("SUP_H2DSL"=[1]OUT_SyntheticFuels!$C$4:$C$1000)*1,("H2"=[1]OUT_SyntheticFuels!$A$4:$A$1000)*1,("Var_Fin"=[1]OUT_SyntheticFuels!$B$4:$B$1000)*1,[1]OUT_SyntheticFuels!F$4:F$1000)-G724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SUMPRODUCT(("SUP_H2DSL"=[1]OUT_SyntheticFuels!$C$4:$C$1000)*1,("H2"=[1]OUT_SyntheticFuels!$A$4:$A$1000)*1,("Var_Fin"=[1]OUT_SyntheticFuels!$B$4:$B$1000)*1,[1]OUT_SyntheticFuels!G$4:G$1000)-H724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SUMPRODUCT(("SUP_H2DSL"=[1]OUT_SyntheticFuels!$C$4:$C$1000)*1,("H2"=[1]OUT_SyntheticFuels!$A$4:$A$1000)*1,("Var_Fin"=[1]OUT_SyntheticFuels!$B$4:$B$1000)*1,[1]OUT_SyntheticFuels!H$4:H$1000)-I724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SUMPRODUCT(("SUP_H2DSL"=[1]OUT_SyntheticFuels!$C$4:$C$1000)*1,("H2"=[1]OUT_SyntheticFuels!$A$4:$A$1000)*1,("Var_Fin"=[1]OUT_SyntheticFuels!$B$4:$B$1000)*1,[1]OUT_SyntheticFuels!I$4:I$1000)-J724</f>
        <v>9.2636792307019752E-4</v>
      </c>
      <c r="K726" s="10" cm="1">
        <f t="array" ref="K726">SUMPRODUCT(("SUP_H2DSL"=[1]OUT_SyntheticFuels!$C$4:$C$1000)*1,("H2"=[1]OUT_SyntheticFuels!$A$4:$A$1000)*1,("Var_Fin"=[1]OUT_SyntheticFuels!$B$4:$B$1000)*1,[1]OUT_SyntheticFuels!J$4:J$1000)-K724</f>
        <v>0</v>
      </c>
    </row>
    <row r="727" spans="2:13" x14ac:dyDescent="0.35">
      <c r="B727" s="9" t="str">
        <f t="shared" si="439"/>
        <v>SPS3</v>
      </c>
      <c r="C727" s="9" t="str">
        <f>C726</f>
        <v>CH</v>
      </c>
      <c r="D727" s="2" t="s">
        <v>440</v>
      </c>
      <c r="E727" s="9" t="s">
        <v>240</v>
      </c>
      <c r="F727" s="14" t="s">
        <v>292</v>
      </c>
      <c r="G727" s="14" t="s">
        <v>292</v>
      </c>
      <c r="H727" s="14" t="s">
        <v>292</v>
      </c>
      <c r="I727" s="14" t="s">
        <v>292</v>
      </c>
      <c r="J727" s="14" t="s">
        <v>292</v>
      </c>
      <c r="K727" s="14" t="s">
        <v>292</v>
      </c>
    </row>
    <row r="728" spans="2:13" x14ac:dyDescent="0.35">
      <c r="B728" s="5" t="str">
        <f t="shared" si="439"/>
        <v>SPS3</v>
      </c>
      <c r="C728" s="5" t="str">
        <f t="shared" ref="C728:C733" si="461">C727</f>
        <v>CH</v>
      </c>
      <c r="D728" t="s">
        <v>436</v>
      </c>
      <c r="E728" s="5" t="s">
        <v>240</v>
      </c>
      <c r="F728" s="14" t="str">
        <f>IFERROR(F714/F722,"-")</f>
        <v>-</v>
      </c>
      <c r="G728" s="14" t="str">
        <f t="shared" ref="G728:K728" si="462">IFERROR(G714/G722,"-")</f>
        <v>-</v>
      </c>
      <c r="H728" s="14" t="str">
        <f t="shared" si="462"/>
        <v>-</v>
      </c>
      <c r="I728" s="14" t="str">
        <f t="shared" si="462"/>
        <v>-</v>
      </c>
      <c r="J728" s="14">
        <f t="shared" si="462"/>
        <v>0.76999999999999946</v>
      </c>
      <c r="K728" s="14">
        <f t="shared" si="462"/>
        <v>0.76999999999999891</v>
      </c>
    </row>
    <row r="729" spans="2:13" x14ac:dyDescent="0.35">
      <c r="B729" s="5" t="str">
        <f t="shared" si="439"/>
        <v>SPS3</v>
      </c>
      <c r="C729" s="5" t="str">
        <f t="shared" si="461"/>
        <v>CH</v>
      </c>
      <c r="D729" t="s">
        <v>437</v>
      </c>
      <c r="E729" s="5" t="s">
        <v>240</v>
      </c>
      <c r="F729" s="16" t="str">
        <f>IFERROR(F716/F724,"-")</f>
        <v>-</v>
      </c>
      <c r="G729" s="16" t="str">
        <f t="shared" ref="G729:K729" si="463">IFERROR(G716/G724,"-")</f>
        <v>-</v>
      </c>
      <c r="H729" s="16" t="str">
        <f t="shared" si="463"/>
        <v>-</v>
      </c>
      <c r="I729" s="16" t="str">
        <f t="shared" si="463"/>
        <v>-</v>
      </c>
      <c r="J729" s="16">
        <f t="shared" si="463"/>
        <v>0.45864159300662311</v>
      </c>
      <c r="K729" s="16">
        <f t="shared" si="463"/>
        <v>0.40600003166873222</v>
      </c>
      <c r="L729" s="9"/>
      <c r="M729" s="9"/>
    </row>
    <row r="730" spans="2:13" x14ac:dyDescent="0.35">
      <c r="B730" s="5" t="str">
        <f t="shared" si="439"/>
        <v>SPS3</v>
      </c>
      <c r="C730" s="5" t="str">
        <f t="shared" si="461"/>
        <v>CH</v>
      </c>
      <c r="D730" t="s">
        <v>438</v>
      </c>
      <c r="E730" s="5" t="s">
        <v>240</v>
      </c>
      <c r="F730" s="16" t="str">
        <f>IFERROR(F717/F725,"-")</f>
        <v>-</v>
      </c>
      <c r="G730" s="16" t="str">
        <f t="shared" ref="G730:K730" si="464">IFERROR(G717/G725,"-")</f>
        <v>-</v>
      </c>
      <c r="H730" s="16" t="str">
        <f t="shared" si="464"/>
        <v>-</v>
      </c>
      <c r="I730" s="16" t="str">
        <f t="shared" si="464"/>
        <v>-</v>
      </c>
      <c r="J730" s="16">
        <f t="shared" si="464"/>
        <v>0.69999999999999907</v>
      </c>
      <c r="K730" s="16">
        <f t="shared" si="464"/>
        <v>0.69999999999999951</v>
      </c>
      <c r="L730" s="9"/>
      <c r="M730" s="9"/>
    </row>
    <row r="731" spans="2:13" x14ac:dyDescent="0.35">
      <c r="B731" s="5" t="str">
        <f t="shared" si="439"/>
        <v>SPS3</v>
      </c>
      <c r="C731" s="5" t="str">
        <f t="shared" si="461"/>
        <v>CH</v>
      </c>
      <c r="D731" t="s">
        <v>439</v>
      </c>
      <c r="E731" s="5" t="s">
        <v>240</v>
      </c>
      <c r="F731" s="16" t="str">
        <f>IFERROR(F718/F726,"-")</f>
        <v>-</v>
      </c>
      <c r="G731" s="16" t="str">
        <f t="shared" ref="G731:K731" si="465">IFERROR(G718/G726,"-")</f>
        <v>-</v>
      </c>
      <c r="H731" s="16" t="str">
        <f t="shared" si="465"/>
        <v>-</v>
      </c>
      <c r="I731" s="16" t="str">
        <f t="shared" si="465"/>
        <v>-</v>
      </c>
      <c r="J731" s="16">
        <f t="shared" si="465"/>
        <v>0.45864159300662366</v>
      </c>
      <c r="K731" s="16" t="str">
        <f t="shared" si="465"/>
        <v>-</v>
      </c>
      <c r="L731" s="9"/>
      <c r="M731" s="9"/>
    </row>
    <row r="732" spans="2:13" x14ac:dyDescent="0.35">
      <c r="B732" s="5" t="str">
        <f t="shared" si="439"/>
        <v>SPS3</v>
      </c>
      <c r="C732" s="5" t="str">
        <f t="shared" si="461"/>
        <v>CH</v>
      </c>
      <c r="D732" s="2" t="s">
        <v>444</v>
      </c>
      <c r="E732" s="9" t="s">
        <v>442</v>
      </c>
      <c r="F732" s="17">
        <f>F733</f>
        <v>0</v>
      </c>
      <c r="G732" s="17">
        <f t="shared" ref="G732" si="466">G733</f>
        <v>0</v>
      </c>
      <c r="H732" s="17">
        <f t="shared" ref="H732" si="467">H733</f>
        <v>0</v>
      </c>
      <c r="I732" s="17">
        <f t="shared" ref="I732" si="468">I733</f>
        <v>0</v>
      </c>
      <c r="J732" s="17">
        <f t="shared" ref="J732" si="469">J733</f>
        <v>0.28114131521852709</v>
      </c>
      <c r="K732" s="17">
        <f t="shared" ref="K732" si="470">K733</f>
        <v>0.39342930924456065</v>
      </c>
      <c r="L732" s="9"/>
      <c r="M732" s="9"/>
    </row>
    <row r="733" spans="2:13" x14ac:dyDescent="0.35">
      <c r="B733" s="5" t="str">
        <f t="shared" si="439"/>
        <v>SPS3</v>
      </c>
      <c r="C733" s="5" t="str">
        <f t="shared" si="461"/>
        <v>CH</v>
      </c>
      <c r="D733" t="s">
        <v>443</v>
      </c>
      <c r="E733" s="5" t="s">
        <v>442</v>
      </c>
      <c r="F733" s="18">
        <f>SUM(F737,F739)</f>
        <v>0</v>
      </c>
      <c r="G733" s="18">
        <f t="shared" ref="G733" si="471">SUM(G737,G739)</f>
        <v>0</v>
      </c>
      <c r="H733" s="18">
        <f t="shared" ref="H733" si="472">SUM(H737,H739)</f>
        <v>0</v>
      </c>
      <c r="I733" s="18">
        <f t="shared" ref="I733" si="473">SUM(I737,I739)</f>
        <v>0</v>
      </c>
      <c r="J733" s="18">
        <f t="shared" ref="J733" si="474">SUM(J737,J739)</f>
        <v>0.28114131521852709</v>
      </c>
      <c r="K733" s="18">
        <f t="shared" ref="K733" si="475">SUM(K737,K739)</f>
        <v>0.39342930924456065</v>
      </c>
      <c r="L733" s="9"/>
      <c r="M733" s="9"/>
    </row>
    <row r="734" spans="2:13" x14ac:dyDescent="0.35">
      <c r="B734" s="5" t="str">
        <f t="shared" si="439"/>
        <v>SPS3</v>
      </c>
      <c r="C734" s="5" t="str">
        <f t="shared" ref="C734:C736" si="476">C733</f>
        <v>CH</v>
      </c>
      <c r="D734" t="s">
        <v>445</v>
      </c>
      <c r="E734" s="5" t="s">
        <v>442</v>
      </c>
      <c r="F734" s="18">
        <v>0</v>
      </c>
      <c r="G734" s="18">
        <v>0</v>
      </c>
      <c r="H734" s="18">
        <v>0</v>
      </c>
      <c r="I734" s="18">
        <v>0</v>
      </c>
      <c r="J734" s="18" cm="1">
        <f t="array" ref="J734">SUMPRODUCT(("CHPWSTCCS"=[1]OUT_CO2util!$C$3:$C$1000)*1+("EWOD-CCS"=[1]OUT_CO2util!$C$3:$C$1000)*1+("SUP_WODH2CCS"=[1]OUT_CO2util!$C$3:$C$1000)*1+("EWSTINCCS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2.011150355096359E-4</v>
      </c>
      <c r="K734" s="18" cm="1">
        <f t="array" ref="K734">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0.28570687253415428</v>
      </c>
      <c r="L734" s="9"/>
      <c r="M734" s="9"/>
    </row>
    <row r="735" spans="2:13" x14ac:dyDescent="0.35">
      <c r="B735" s="5" t="str">
        <f t="shared" si="439"/>
        <v>SPS3</v>
      </c>
      <c r="C735" s="5" t="str">
        <f t="shared" si="476"/>
        <v>CH</v>
      </c>
      <c r="D735" t="s">
        <v>446</v>
      </c>
      <c r="E735" s="5" t="s">
        <v>442</v>
      </c>
      <c r="F735" s="18">
        <v>0</v>
      </c>
      <c r="G735" s="18">
        <v>0</v>
      </c>
      <c r="H735" s="18">
        <v>0</v>
      </c>
      <c r="I735" s="18">
        <v>0</v>
      </c>
      <c r="J735" s="18">
        <f>J733-J734-J736</f>
        <v>0.28093827974607816</v>
      </c>
      <c r="K735" s="18">
        <f>K733-K734-K736</f>
        <v>0.10771832899178467</v>
      </c>
      <c r="L735" s="9"/>
      <c r="M735" s="9"/>
    </row>
    <row r="736" spans="2:13" x14ac:dyDescent="0.35">
      <c r="B736" s="5" t="str">
        <f t="shared" si="439"/>
        <v>SPS3</v>
      </c>
      <c r="C736" s="5" t="str">
        <f t="shared" si="476"/>
        <v>CH</v>
      </c>
      <c r="D736" t="s">
        <v>455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733</f>
        <v>1.9204369393125278E-6</v>
      </c>
      <c r="K736" s="18" cm="1">
        <f t="array" ref="K736">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733</f>
        <v>4.1077186217019423E-6</v>
      </c>
      <c r="L736" s="9"/>
    </row>
    <row r="737" spans="2:13" x14ac:dyDescent="0.35">
      <c r="B737" s="5" t="str">
        <f t="shared" si="439"/>
        <v>SPS3</v>
      </c>
      <c r="C737" s="5" t="str">
        <f>C733</f>
        <v>CH</v>
      </c>
      <c r="D737" t="s">
        <v>932</v>
      </c>
      <c r="E737" s="5" t="s">
        <v>442</v>
      </c>
      <c r="F737" s="18">
        <f>F738</f>
        <v>0</v>
      </c>
      <c r="G737" s="18">
        <f t="shared" ref="G737" si="477">G738</f>
        <v>0</v>
      </c>
      <c r="H737" s="18">
        <f t="shared" ref="H737" si="478">H738</f>
        <v>0</v>
      </c>
      <c r="I737" s="18">
        <f t="shared" ref="I737" si="479">I738</f>
        <v>0</v>
      </c>
      <c r="J737" s="18">
        <f t="shared" ref="J737" si="480">J738</f>
        <v>4.3398388438210866E-2</v>
      </c>
      <c r="K737" s="18">
        <f t="shared" ref="K737" si="481">K738</f>
        <v>1.6652621011590197E-2</v>
      </c>
      <c r="L737" s="9"/>
    </row>
    <row r="738" spans="2:13" x14ac:dyDescent="0.35">
      <c r="B738" s="5" t="str">
        <f t="shared" si="439"/>
        <v>SPS3</v>
      </c>
      <c r="C738" s="5" t="str">
        <f>C737</f>
        <v>CH</v>
      </c>
      <c r="D738" t="s">
        <v>451</v>
      </c>
      <c r="E738" s="5" t="s">
        <v>442</v>
      </c>
      <c r="F738" s="10" cm="1">
        <f t="array" ref="F738">SUMPRODUCT(("SUP_H2NGA"=[1]OUT_SyntheticFuels!$C$4:$C$1000)*1,("CO2_M"=[1]OUT_SyntheticFuels!$A$4:$A$1000)*1,("Var_Fin"=[1]OUT_SyntheticFuels!$B$4:$B$1000)*1,[1]OUT_SyntheticFuels!E$4:E$1000)/1000</f>
        <v>0</v>
      </c>
      <c r="G738" s="10" cm="1">
        <f t="array" ref="G738">SUMPRODUCT(("SUP_H2NGA"=[1]OUT_SyntheticFuels!$C$4:$C$1000)*1,("CO2_M"=[1]OUT_SyntheticFuels!$A$4:$A$1000)*1,("Var_Fin"=[1]OUT_SyntheticFuels!$B$4:$B$1000)*1,[1]OUT_SyntheticFuels!F$4:F$1000)/1000</f>
        <v>0</v>
      </c>
      <c r="H738" s="10" cm="1">
        <f t="array" ref="H738">SUMPRODUCT(("SUP_H2NGA"=[1]OUT_SyntheticFuels!$C$4:$C$1000)*1,("CO2_M"=[1]OUT_SyntheticFuels!$A$4:$A$1000)*1,("Var_Fin"=[1]OUT_SyntheticFuels!$B$4:$B$1000)*1,[1]OUT_SyntheticFuels!G$4:G$1000)/1000</f>
        <v>0</v>
      </c>
      <c r="I738" s="10" cm="1">
        <f t="array" ref="I738">SUMPRODUCT(("SUP_H2NGA"=[1]OUT_SyntheticFuels!$C$4:$C$1000)*1,("CO2_M"=[1]OUT_SyntheticFuels!$A$4:$A$1000)*1,("Var_Fin"=[1]OUT_SyntheticFuels!$B$4:$B$1000)*1,[1]OUT_SyntheticFuels!H$4:H$1000)/1000</f>
        <v>0</v>
      </c>
      <c r="J738" s="10" cm="1">
        <f t="array" ref="J738">SUMPRODUCT(("SUP_H2NGA"=[1]OUT_SyntheticFuels!$C$4:$C$1000)*1,("CO2_M"=[1]OUT_SyntheticFuels!$A$4:$A$1000)*1,("Var_Fin"=[1]OUT_SyntheticFuels!$B$4:$B$1000)*1,[1]OUT_SyntheticFuels!I$4:I$1000)/1000</f>
        <v>4.3398388438210866E-2</v>
      </c>
      <c r="K738" s="10" cm="1">
        <f t="array" ref="K738">SUMPRODUCT(("SUP_H2NGA"=[1]OUT_SyntheticFuels!$C$4:$C$1000)*1,("CO2_M"=[1]OUT_SyntheticFuels!$A$4:$A$1000)*1,("Var_Fin"=[1]OUT_SyntheticFuels!$B$4:$B$1000)*1,[1]OUT_SyntheticFuels!J$4:J$1000)/1000</f>
        <v>1.6652621011590197E-2</v>
      </c>
      <c r="L738" s="9"/>
    </row>
    <row r="739" spans="2:13" x14ac:dyDescent="0.35">
      <c r="B739" s="5" t="str">
        <f t="shared" si="439"/>
        <v>SPS3</v>
      </c>
      <c r="C739" s="5" t="str">
        <f t="shared" ref="C739:C742" si="482">C738</f>
        <v>CH</v>
      </c>
      <c r="D739" t="s">
        <v>933</v>
      </c>
      <c r="E739" s="5" t="s">
        <v>442</v>
      </c>
      <c r="F739" s="18">
        <f>SUM(F740:F742)</f>
        <v>0</v>
      </c>
      <c r="G739" s="18">
        <f t="shared" ref="G739" si="483">SUM(G740:G742)</f>
        <v>0</v>
      </c>
      <c r="H739" s="18">
        <f t="shared" ref="H739" si="484">SUM(H740:H742)</f>
        <v>0</v>
      </c>
      <c r="I739" s="18">
        <f t="shared" ref="I739" si="485">SUM(I740:I742)</f>
        <v>0</v>
      </c>
      <c r="J739" s="18">
        <f t="shared" ref="J739" si="486">SUM(J740:J742)</f>
        <v>0.23774292678031622</v>
      </c>
      <c r="K739" s="18">
        <f t="shared" ref="K739" si="487">SUM(K740:K742)</f>
        <v>0.37677668823297045</v>
      </c>
      <c r="L739" s="9"/>
    </row>
    <row r="740" spans="2:13" x14ac:dyDescent="0.35">
      <c r="B740" s="5" t="str">
        <f t="shared" si="439"/>
        <v>SPS3</v>
      </c>
      <c r="C740" s="5" t="str">
        <f t="shared" si="482"/>
        <v>CH</v>
      </c>
      <c r="D740" t="s">
        <v>452</v>
      </c>
      <c r="E740" s="5" t="s">
        <v>442</v>
      </c>
      <c r="F740" s="10" cm="1">
        <f t="array" ref="F740">SUMPRODUCT(("SUP_H2DSL"=[1]OUT_SyntheticFuels!$C$4:$C$1000)*1,("co2_m"=[1]OUT_SyntheticFuels!$A$4:$A$1000)*1,("Var_Fin"=[1]OUT_SyntheticFuels!$B$4:$B$1000)*1,[1]OUT_SyntheticFuels!E$4:E$1000)*IFERROR(F716/SUM(F716,F718),0)/1000</f>
        <v>0</v>
      </c>
      <c r="G740" s="10" cm="1">
        <f t="array" ref="G740">SUMPRODUCT(("SUP_H2DSL"=[1]OUT_SyntheticFuels!$C$4:$C$1000)*1,("co2_m"=[1]OUT_SyntheticFuels!$A$4:$A$1000)*1,("Var_Fin"=[1]OUT_SyntheticFuels!$B$4:$B$1000)*1,[1]OUT_SyntheticFuels!F$4:F$1000)*IFERROR(G716/SUM(G716,G718),0)/1000</f>
        <v>0</v>
      </c>
      <c r="H740" s="10" cm="1">
        <f t="array" ref="H740">SUMPRODUCT(("SUP_H2DSL"=[1]OUT_SyntheticFuels!$C$4:$C$1000)*1,("co2_m"=[1]OUT_SyntheticFuels!$A$4:$A$1000)*1,("Var_Fin"=[1]OUT_SyntheticFuels!$B$4:$B$1000)*1,[1]OUT_SyntheticFuels!G$4:G$1000)*IFERROR(H716/SUM(H716,H718),0)/1000</f>
        <v>0</v>
      </c>
      <c r="I740" s="10" cm="1">
        <f t="array" ref="I740">SUMPRODUCT(("SUP_H2DSL"=[1]OUT_SyntheticFuels!$C$4:$C$1000)*1,("co2_m"=[1]OUT_SyntheticFuels!$A$4:$A$1000)*1,("Var_Fin"=[1]OUT_SyntheticFuels!$B$4:$B$1000)*1,[1]OUT_SyntheticFuels!H$4:H$1000)*IFERROR(I716/SUM(I716,I718),0)/1000</f>
        <v>0</v>
      </c>
      <c r="J740" s="10" cm="1">
        <f t="array" ref="J740">SUMPRODUCT(("SUP_H2DSL"=[1]OUT_SyntheticFuels!$C$4:$C$1000)*1,("co2_m"=[1]OUT_SyntheticFuels!$A$4:$A$1000)*1,("Var_Fin"=[1]OUT_SyntheticFuels!$B$4:$B$1000)*1,[1]OUT_SyntheticFuels!I$4:I$1000)*IFERROR(J716/SUM(J716,J718),0)/1000</f>
        <v>3.2424293250047287E-4</v>
      </c>
      <c r="K740" s="10" cm="1">
        <f t="array" ref="K740">SUMPRODUCT(("SUP_H2DSL"=[1]OUT_SyntheticFuels!$C$4:$C$1000)*1,("co2_m"=[1]OUT_SyntheticFuels!$A$4:$A$1000)*1,("Var_Fin"=[1]OUT_SyntheticFuels!$B$4:$B$1000)*1,[1]OUT_SyntheticFuels!J$4:J$1000)*IFERROR(K716/SUM(K716,K718),0)/1000</f>
        <v>0.34273487913235112</v>
      </c>
      <c r="L740" s="9"/>
    </row>
    <row r="741" spans="2:13" x14ac:dyDescent="0.35">
      <c r="B741" s="5" t="str">
        <f t="shared" si="439"/>
        <v>SPS3</v>
      </c>
      <c r="C741" s="5" t="str">
        <f t="shared" si="482"/>
        <v>CH</v>
      </c>
      <c r="D741" t="s">
        <v>453</v>
      </c>
      <c r="E741" s="5" t="s">
        <v>442</v>
      </c>
      <c r="F741" s="10" cm="1">
        <f t="array" ref="F741">SUMPRODUCT(("SUP_H2GSL"=[1]OUT_SyntheticFuels!$C$4:$C$1000)*1,("co2_m"=[1]OUT_SyntheticFuels!$A$4:$A$1000)*1,("Var_Fin"=[1]OUT_SyntheticFuels!$B$4:$B$1000)*1,[1]OUT_SyntheticFuels!E$4:E$1000)/1000</f>
        <v>0</v>
      </c>
      <c r="G741" s="10" cm="1">
        <f t="array" ref="G741">SUMPRODUCT(("SUP_H2GSL"=[1]OUT_SyntheticFuels!$C$4:$C$1000)*1,("co2_m"=[1]OUT_SyntheticFuels!$A$4:$A$1000)*1,("Var_Fin"=[1]OUT_SyntheticFuels!$B$4:$B$1000)*1,[1]OUT_SyntheticFuels!F$4:F$1000)/1000</f>
        <v>0</v>
      </c>
      <c r="H741" s="10" cm="1">
        <f t="array" ref="H741">SUMPRODUCT(("SUP_H2GSL"=[1]OUT_SyntheticFuels!$C$4:$C$1000)*1,("co2_m"=[1]OUT_SyntheticFuels!$A$4:$A$1000)*1,("Var_Fin"=[1]OUT_SyntheticFuels!$B$4:$B$1000)*1,[1]OUT_SyntheticFuels!G$4:G$1000)/1000</f>
        <v>0</v>
      </c>
      <c r="I741" s="10" cm="1">
        <f t="array" ref="I741">SUMPRODUCT(("SUP_H2GSL"=[1]OUT_SyntheticFuels!$C$4:$C$1000)*1,("co2_m"=[1]OUT_SyntheticFuels!$A$4:$A$1000)*1,("Var_Fin"=[1]OUT_SyntheticFuels!$B$4:$B$1000)*1,[1]OUT_SyntheticFuels!H$4:H$1000)/1000</f>
        <v>0</v>
      </c>
      <c r="J741" s="10" cm="1">
        <f t="array" ref="J741">SUMPRODUCT(("SUP_H2GSL"=[1]OUT_SyntheticFuels!$C$4:$C$1000)*1,("co2_m"=[1]OUT_SyntheticFuels!$A$4:$A$1000)*1,("Var_Fin"=[1]OUT_SyntheticFuels!$B$4:$B$1000)*1,[1]OUT_SyntheticFuels!I$4:I$1000)/1000</f>
        <v>0.23737930024193435</v>
      </c>
      <c r="K741" s="10" cm="1">
        <f t="array" ref="K741">SUMPRODUCT(("SUP_H2GSL"=[1]OUT_SyntheticFuels!$C$4:$C$1000)*1,("co2_m"=[1]OUT_SyntheticFuels!$A$4:$A$1000)*1,("Var_Fin"=[1]OUT_SyntheticFuels!$B$4:$B$1000)*1,[1]OUT_SyntheticFuels!J$4:J$1000)/1000</f>
        <v>3.4041809100619345E-2</v>
      </c>
      <c r="L741" s="9"/>
      <c r="M741" s="9"/>
    </row>
    <row r="742" spans="2:13" x14ac:dyDescent="0.35">
      <c r="B742" s="5" t="str">
        <f t="shared" si="439"/>
        <v>SPS3</v>
      </c>
      <c r="C742" s="5" t="str">
        <f t="shared" si="482"/>
        <v>CH</v>
      </c>
      <c r="D742" t="s">
        <v>454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SUMPRODUCT(("SUP_H2DSL"=[1]OUT_SyntheticFuels!$C$4:$C$1000)*1,("co2_m"=[1]OUT_SyntheticFuels!$A$4:$A$1000)*1,("Var_Fin"=[1]OUT_SyntheticFuels!$B$4:$B$1000)*1,[1]OUT_SyntheticFuels!E$4:E$1000)/1000-F740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SUMPRODUCT(("SUP_H2DSL"=[1]OUT_SyntheticFuels!$C$4:$C$1000)*1,("co2_m"=[1]OUT_SyntheticFuels!$A$4:$A$1000)*1,("Var_Fin"=[1]OUT_SyntheticFuels!$B$4:$B$1000)*1,[1]OUT_SyntheticFuels!F$4:F$1000)/1000-G740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SUMPRODUCT(("SUP_H2DSL"=[1]OUT_SyntheticFuels!$C$4:$C$1000)*1,("co2_m"=[1]OUT_SyntheticFuels!$A$4:$A$1000)*1,("Var_Fin"=[1]OUT_SyntheticFuels!$B$4:$B$1000)*1,[1]OUT_SyntheticFuels!G$4:G$1000)/1000-H740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SUMPRODUCT(("SUP_H2DSL"=[1]OUT_SyntheticFuels!$C$4:$C$1000)*1,("co2_m"=[1]OUT_SyntheticFuels!$A$4:$A$1000)*1,("Var_Fin"=[1]OUT_SyntheticFuels!$B$4:$B$1000)*1,[1]OUT_SyntheticFuels!H$4:H$1000)/1000-I740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SUMPRODUCT(("SUP_H2DSL"=[1]OUT_SyntheticFuels!$C$4:$C$1000)*1,("co2_m"=[1]OUT_SyntheticFuels!$A$4:$A$1000)*1,("Var_Fin"=[1]OUT_SyntheticFuels!$B$4:$B$1000)*1,[1]OUT_SyntheticFuels!I$4:I$1000)/1000-J740</f>
        <v>3.9383605881406446E-5</v>
      </c>
      <c r="K742" s="10" cm="1">
        <f t="array" ref="K742">SUMPRODUCT(("SUP_H2DSL"=[1]OUT_SyntheticFuels!$C$4:$C$1000)*1,("co2_m"=[1]OUT_SyntheticFuels!$A$4:$A$1000)*1,("Var_Fin"=[1]OUT_SyntheticFuels!$B$4:$B$1000)*1,[1]OUT_SyntheticFuels!J$4:J$1000)/1000-K740</f>
        <v>0</v>
      </c>
      <c r="L742" s="9"/>
      <c r="M742" s="9"/>
    </row>
    <row r="743" spans="2:13" x14ac:dyDescent="0.35">
      <c r="B743" s="5" t="str">
        <f t="shared" si="439"/>
        <v>SPS3</v>
      </c>
      <c r="C743" s="5" t="str">
        <f>C739</f>
        <v>CH</v>
      </c>
      <c r="D743" t="s">
        <v>934</v>
      </c>
      <c r="E743" s="5" t="s">
        <v>442</v>
      </c>
      <c r="F743" s="18">
        <f>IFERROR(F$734/F$733,0)*F737</f>
        <v>0</v>
      </c>
      <c r="G743" s="18">
        <f t="shared" ref="G743:K743" si="488">IFERROR(G$734/G$733,0)*G737</f>
        <v>0</v>
      </c>
      <c r="H743" s="18">
        <f t="shared" si="488"/>
        <v>0</v>
      </c>
      <c r="I743" s="18">
        <f t="shared" si="488"/>
        <v>0</v>
      </c>
      <c r="J743" s="18">
        <f t="shared" si="488"/>
        <v>3.1045129119594355E-5</v>
      </c>
      <c r="K743" s="18">
        <f t="shared" si="488"/>
        <v>1.2093070233769723E-2</v>
      </c>
    </row>
    <row r="744" spans="2:13" x14ac:dyDescent="0.35">
      <c r="B744" s="5" t="str">
        <f t="shared" si="439"/>
        <v>SPS3</v>
      </c>
      <c r="C744" s="5" t="str">
        <f>C743</f>
        <v>CH</v>
      </c>
      <c r="D744" t="s">
        <v>456</v>
      </c>
      <c r="E744" s="5" t="s">
        <v>442</v>
      </c>
      <c r="F744" s="18">
        <f t="shared" ref="F744:K744" si="489">IFERROR(F$734/F$733,0)*F738</f>
        <v>0</v>
      </c>
      <c r="G744" s="18">
        <f t="shared" si="489"/>
        <v>0</v>
      </c>
      <c r="H744" s="18">
        <f t="shared" si="489"/>
        <v>0</v>
      </c>
      <c r="I744" s="18">
        <f t="shared" si="489"/>
        <v>0</v>
      </c>
      <c r="J744" s="18">
        <f t="shared" si="489"/>
        <v>3.1045129119594355E-5</v>
      </c>
      <c r="K744" s="18">
        <f t="shared" si="489"/>
        <v>1.2093070233769723E-2</v>
      </c>
    </row>
    <row r="745" spans="2:13" x14ac:dyDescent="0.35">
      <c r="B745" s="5" t="str">
        <f t="shared" si="439"/>
        <v>SPS3</v>
      </c>
      <c r="C745" s="5" t="str">
        <f t="shared" ref="C745:C748" si="490">C744</f>
        <v>CH</v>
      </c>
      <c r="D745" t="s">
        <v>935</v>
      </c>
      <c r="E745" s="5" t="s">
        <v>442</v>
      </c>
      <c r="F745" s="18">
        <f t="shared" ref="F745:K745" si="491">IFERROR(F$734/F$733,0)*F739</f>
        <v>0</v>
      </c>
      <c r="G745" s="18">
        <f t="shared" si="491"/>
        <v>0</v>
      </c>
      <c r="H745" s="18">
        <f t="shared" si="491"/>
        <v>0</v>
      </c>
      <c r="I745" s="18">
        <f t="shared" si="491"/>
        <v>0</v>
      </c>
      <c r="J745" s="18">
        <f t="shared" si="491"/>
        <v>1.7006990639004154E-4</v>
      </c>
      <c r="K745" s="18">
        <f t="shared" si="491"/>
        <v>0.27361380230038457</v>
      </c>
    </row>
    <row r="746" spans="2:13" x14ac:dyDescent="0.35">
      <c r="B746" s="5" t="str">
        <f t="shared" si="439"/>
        <v>SPS3</v>
      </c>
      <c r="C746" s="5" t="str">
        <f t="shared" si="490"/>
        <v>CH</v>
      </c>
      <c r="D746" t="s">
        <v>457</v>
      </c>
      <c r="E746" s="5" t="s">
        <v>442</v>
      </c>
      <c r="F746" s="18">
        <f t="shared" ref="F746:K746" si="492">IFERROR(F$734/F$733,0)*F740</f>
        <v>0</v>
      </c>
      <c r="G746" s="18">
        <f t="shared" si="492"/>
        <v>0</v>
      </c>
      <c r="H746" s="18">
        <f t="shared" si="492"/>
        <v>0</v>
      </c>
      <c r="I746" s="18">
        <f t="shared" si="492"/>
        <v>0</v>
      </c>
      <c r="J746" s="18">
        <f t="shared" si="492"/>
        <v>2.3194786875381224E-7</v>
      </c>
      <c r="K746" s="18">
        <f t="shared" si="492"/>
        <v>0.24889276961418763</v>
      </c>
    </row>
    <row r="747" spans="2:13" x14ac:dyDescent="0.35">
      <c r="B747" s="5" t="str">
        <f t="shared" si="439"/>
        <v>SPS3</v>
      </c>
      <c r="C747" s="5" t="str">
        <f t="shared" si="490"/>
        <v>CH</v>
      </c>
      <c r="D747" t="s">
        <v>458</v>
      </c>
      <c r="E747" s="5" t="s">
        <v>442</v>
      </c>
      <c r="F747" s="18">
        <f t="shared" ref="F747:K747" si="493">IFERROR(F$734/F$733,0)*F741</f>
        <v>0</v>
      </c>
      <c r="G747" s="18">
        <f t="shared" si="493"/>
        <v>0</v>
      </c>
      <c r="H747" s="18">
        <f t="shared" si="493"/>
        <v>0</v>
      </c>
      <c r="I747" s="18">
        <f t="shared" si="493"/>
        <v>0</v>
      </c>
      <c r="J747" s="18">
        <f t="shared" si="493"/>
        <v>1.6980978537537648E-4</v>
      </c>
      <c r="K747" s="18">
        <f t="shared" si="493"/>
        <v>2.4721032686196933E-2</v>
      </c>
    </row>
    <row r="748" spans="2:13" x14ac:dyDescent="0.35">
      <c r="B748" s="5" t="str">
        <f t="shared" si="439"/>
        <v>SPS3</v>
      </c>
      <c r="C748" s="5" t="str">
        <f t="shared" si="490"/>
        <v>CH</v>
      </c>
      <c r="D748" t="s">
        <v>459</v>
      </c>
      <c r="E748" s="5" t="s">
        <v>442</v>
      </c>
      <c r="F748" s="18">
        <f t="shared" ref="F748:K748" si="494">IFERROR(F$734/F$733,0)*F742</f>
        <v>0</v>
      </c>
      <c r="G748" s="18">
        <f t="shared" si="494"/>
        <v>0</v>
      </c>
      <c r="H748" s="18">
        <f t="shared" si="494"/>
        <v>0</v>
      </c>
      <c r="I748" s="18">
        <f t="shared" si="494"/>
        <v>0</v>
      </c>
      <c r="J748" s="18">
        <f t="shared" si="494"/>
        <v>2.8173145911265186E-8</v>
      </c>
      <c r="K748" s="18">
        <f t="shared" si="494"/>
        <v>0</v>
      </c>
    </row>
    <row r="749" spans="2:13" x14ac:dyDescent="0.35">
      <c r="B749" s="5" t="str">
        <f t="shared" si="439"/>
        <v>SPS3</v>
      </c>
      <c r="C749" s="5" t="str">
        <f>C745</f>
        <v>CH</v>
      </c>
      <c r="D749" t="s">
        <v>936</v>
      </c>
      <c r="E749" s="5" t="s">
        <v>442</v>
      </c>
      <c r="F749" s="18">
        <f>IFERROR(F$735/F$733,0)*F737</f>
        <v>0</v>
      </c>
      <c r="G749" s="18">
        <f t="shared" ref="G749:K749" si="495">IFERROR(G$735/G$733,0)*G737</f>
        <v>0</v>
      </c>
      <c r="H749" s="18">
        <f t="shared" si="495"/>
        <v>0</v>
      </c>
      <c r="I749" s="18">
        <f t="shared" si="495"/>
        <v>0</v>
      </c>
      <c r="J749" s="18">
        <f t="shared" si="495"/>
        <v>4.336704686077951E-2</v>
      </c>
      <c r="K749" s="18">
        <f t="shared" si="495"/>
        <v>4.5593769110550296E-3</v>
      </c>
    </row>
    <row r="750" spans="2:13" x14ac:dyDescent="0.35">
      <c r="B750" s="5" t="str">
        <f t="shared" si="439"/>
        <v>SPS3</v>
      </c>
      <c r="C750" s="5" t="str">
        <f>C749</f>
        <v>CH</v>
      </c>
      <c r="D750" t="s">
        <v>460</v>
      </c>
      <c r="E750" s="5" t="s">
        <v>442</v>
      </c>
      <c r="F750" s="18">
        <f t="shared" ref="F750:K750" si="496">IFERROR(F$735/F$733,0)*F738</f>
        <v>0</v>
      </c>
      <c r="G750" s="18">
        <f t="shared" si="496"/>
        <v>0</v>
      </c>
      <c r="H750" s="18">
        <f t="shared" si="496"/>
        <v>0</v>
      </c>
      <c r="I750" s="18">
        <f t="shared" si="496"/>
        <v>0</v>
      </c>
      <c r="J750" s="18">
        <f t="shared" si="496"/>
        <v>4.336704686077951E-2</v>
      </c>
      <c r="K750" s="18">
        <f t="shared" si="496"/>
        <v>4.5593769110550296E-3</v>
      </c>
    </row>
    <row r="751" spans="2:13" x14ac:dyDescent="0.35">
      <c r="B751" s="5" t="str">
        <f t="shared" si="439"/>
        <v>SPS3</v>
      </c>
      <c r="C751" s="5" t="str">
        <f t="shared" ref="C751:C754" si="497">C750</f>
        <v>CH</v>
      </c>
      <c r="D751" t="s">
        <v>937</v>
      </c>
      <c r="E751" s="5" t="s">
        <v>442</v>
      </c>
      <c r="F751" s="18">
        <f t="shared" ref="F751:K751" si="498">IFERROR(F$735/F$733,0)*F739</f>
        <v>0</v>
      </c>
      <c r="G751" s="18">
        <f t="shared" si="498"/>
        <v>0</v>
      </c>
      <c r="H751" s="18">
        <f t="shared" si="498"/>
        <v>0</v>
      </c>
      <c r="I751" s="18">
        <f t="shared" si="498"/>
        <v>0</v>
      </c>
      <c r="J751" s="18">
        <f t="shared" si="498"/>
        <v>0.23757123288529863</v>
      </c>
      <c r="K751" s="18">
        <f t="shared" si="498"/>
        <v>0.10315895208072964</v>
      </c>
    </row>
    <row r="752" spans="2:13" x14ac:dyDescent="0.35">
      <c r="B752" s="5" t="str">
        <f t="shared" si="439"/>
        <v>SPS3</v>
      </c>
      <c r="C752" s="5" t="str">
        <f t="shared" si="497"/>
        <v>CH</v>
      </c>
      <c r="D752" t="s">
        <v>461</v>
      </c>
      <c r="E752" s="5" t="s">
        <v>442</v>
      </c>
      <c r="F752" s="18">
        <f t="shared" ref="F752:K752" si="499">IFERROR(F$735/F$733,0)*F740</f>
        <v>0</v>
      </c>
      <c r="G752" s="18">
        <f t="shared" si="499"/>
        <v>0</v>
      </c>
      <c r="H752" s="18">
        <f t="shared" si="499"/>
        <v>0</v>
      </c>
      <c r="I752" s="18">
        <f t="shared" si="499"/>
        <v>0</v>
      </c>
      <c r="J752" s="18">
        <f t="shared" si="499"/>
        <v>3.2400876977367019E-4</v>
      </c>
      <c r="K752" s="18">
        <f t="shared" si="499"/>
        <v>9.3838531090191205E-2</v>
      </c>
    </row>
    <row r="753" spans="2:13" x14ac:dyDescent="0.35">
      <c r="B753" s="5" t="str">
        <f t="shared" si="439"/>
        <v>SPS3</v>
      </c>
      <c r="C753" s="5" t="str">
        <f t="shared" si="497"/>
        <v>CH</v>
      </c>
      <c r="D753" t="s">
        <v>462</v>
      </c>
      <c r="E753" s="5" t="s">
        <v>442</v>
      </c>
      <c r="F753" s="18">
        <f t="shared" ref="F753:K753" si="500">IFERROR(F$735/F$733,0)*F741</f>
        <v>0</v>
      </c>
      <c r="G753" s="18">
        <f t="shared" si="500"/>
        <v>0</v>
      </c>
      <c r="H753" s="18">
        <f t="shared" si="500"/>
        <v>0</v>
      </c>
      <c r="I753" s="18">
        <f t="shared" si="500"/>
        <v>0</v>
      </c>
      <c r="J753" s="18">
        <f t="shared" si="500"/>
        <v>0.23720786895181337</v>
      </c>
      <c r="K753" s="18">
        <f t="shared" si="500"/>
        <v>9.3204209905384441E-3</v>
      </c>
    </row>
    <row r="754" spans="2:13" x14ac:dyDescent="0.35">
      <c r="B754" s="5" t="str">
        <f t="shared" si="439"/>
        <v>SPS3</v>
      </c>
      <c r="C754" s="5" t="str">
        <f t="shared" si="497"/>
        <v>CH</v>
      </c>
      <c r="D754" t="s">
        <v>463</v>
      </c>
      <c r="E754" s="5" t="s">
        <v>442</v>
      </c>
      <c r="F754" s="18">
        <f t="shared" ref="F754:K754" si="501">IFERROR(F$735/F$733,0)*F742</f>
        <v>0</v>
      </c>
      <c r="G754" s="18">
        <f t="shared" si="501"/>
        <v>0</v>
      </c>
      <c r="H754" s="18">
        <f t="shared" si="501"/>
        <v>0</v>
      </c>
      <c r="I754" s="18">
        <f t="shared" si="501"/>
        <v>0</v>
      </c>
      <c r="J754" s="18">
        <f t="shared" si="501"/>
        <v>3.9355163711600637E-5</v>
      </c>
      <c r="K754" s="18">
        <f t="shared" si="501"/>
        <v>0</v>
      </c>
    </row>
    <row r="755" spans="2:13" x14ac:dyDescent="0.35">
      <c r="B755" s="5" t="str">
        <f t="shared" si="439"/>
        <v>SPS3</v>
      </c>
      <c r="C755" s="5" t="str">
        <f>C751</f>
        <v>CH</v>
      </c>
      <c r="D755" t="s">
        <v>938</v>
      </c>
      <c r="E755" s="5" t="s">
        <v>442</v>
      </c>
      <c r="F755" s="18">
        <f>IFERROR(F$736/F$733,0)*F737</f>
        <v>0</v>
      </c>
      <c r="G755" s="18">
        <f t="shared" ref="G755:K755" si="502">IFERROR(G$736/G$733,0)*G737</f>
        <v>0</v>
      </c>
      <c r="H755" s="18">
        <f t="shared" si="502"/>
        <v>0</v>
      </c>
      <c r="I755" s="18">
        <f t="shared" si="502"/>
        <v>0</v>
      </c>
      <c r="J755" s="18">
        <f t="shared" si="502"/>
        <v>2.9644831176304301E-7</v>
      </c>
      <c r="K755" s="18">
        <f t="shared" si="502"/>
        <v>1.7386676544459764E-7</v>
      </c>
    </row>
    <row r="756" spans="2:13" x14ac:dyDescent="0.35">
      <c r="B756" s="5" t="str">
        <f t="shared" ref="B756:B819" si="503">B755</f>
        <v>SPS3</v>
      </c>
      <c r="C756" s="5" t="str">
        <f>C755</f>
        <v>CH</v>
      </c>
      <c r="D756" t="s">
        <v>464</v>
      </c>
      <c r="E756" s="5" t="s">
        <v>442</v>
      </c>
      <c r="F756" s="18">
        <f t="shared" ref="F756:K756" si="504">IFERROR(F$736/F$733,0)*F738</f>
        <v>0</v>
      </c>
      <c r="G756" s="18">
        <f t="shared" si="504"/>
        <v>0</v>
      </c>
      <c r="H756" s="18">
        <f t="shared" si="504"/>
        <v>0</v>
      </c>
      <c r="I756" s="18">
        <f t="shared" si="504"/>
        <v>0</v>
      </c>
      <c r="J756" s="18">
        <f t="shared" si="504"/>
        <v>2.9644831176304301E-7</v>
      </c>
      <c r="K756" s="18">
        <f t="shared" si="504"/>
        <v>1.7386676544459764E-7</v>
      </c>
    </row>
    <row r="757" spans="2:13" x14ac:dyDescent="0.35">
      <c r="B757" s="5" t="str">
        <f t="shared" si="503"/>
        <v>SPS3</v>
      </c>
      <c r="C757" s="5" t="str">
        <f t="shared" ref="C757:C760" si="505">C756</f>
        <v>CH</v>
      </c>
      <c r="D757" t="s">
        <v>939</v>
      </c>
      <c r="E757" s="5" t="s">
        <v>442</v>
      </c>
      <c r="F757" s="18">
        <f t="shared" ref="F757:K757" si="506">IFERROR(F$736/F$733,0)*F739</f>
        <v>0</v>
      </c>
      <c r="G757" s="18">
        <f t="shared" si="506"/>
        <v>0</v>
      </c>
      <c r="H757" s="18">
        <f t="shared" si="506"/>
        <v>0</v>
      </c>
      <c r="I757" s="18">
        <f t="shared" si="506"/>
        <v>0</v>
      </c>
      <c r="J757" s="18">
        <f t="shared" si="506"/>
        <v>1.6239886275494849E-6</v>
      </c>
      <c r="K757" s="18">
        <f t="shared" si="506"/>
        <v>3.9338518562573451E-6</v>
      </c>
    </row>
    <row r="758" spans="2:13" x14ac:dyDescent="0.35">
      <c r="B758" s="5" t="str">
        <f t="shared" si="503"/>
        <v>SPS3</v>
      </c>
      <c r="C758" s="5" t="str">
        <f t="shared" si="505"/>
        <v>CH</v>
      </c>
      <c r="D758" t="s">
        <v>465</v>
      </c>
      <c r="E758" s="5" t="s">
        <v>442</v>
      </c>
      <c r="F758" s="18">
        <f t="shared" ref="F758:K758" si="507">IFERROR(F$736/F$733,0)*F740</f>
        <v>0</v>
      </c>
      <c r="G758" s="18">
        <f t="shared" si="507"/>
        <v>0</v>
      </c>
      <c r="H758" s="18">
        <f t="shared" si="507"/>
        <v>0</v>
      </c>
      <c r="I758" s="18">
        <f t="shared" si="507"/>
        <v>0</v>
      </c>
      <c r="J758" s="18">
        <f t="shared" si="507"/>
        <v>2.2148580488816458E-9</v>
      </c>
      <c r="K758" s="18">
        <f t="shared" si="507"/>
        <v>3.5784279722881057E-6</v>
      </c>
    </row>
    <row r="759" spans="2:13" x14ac:dyDescent="0.35">
      <c r="B759" s="5" t="str">
        <f t="shared" si="503"/>
        <v>SPS3</v>
      </c>
      <c r="C759" s="5" t="str">
        <f t="shared" si="505"/>
        <v>CH</v>
      </c>
      <c r="D759" t="s">
        <v>466</v>
      </c>
      <c r="E759" s="5" t="s">
        <v>442</v>
      </c>
      <c r="F759" s="18">
        <f t="shared" ref="F759:K759" si="508">IFERROR(F$736/F$733,0)*F741</f>
        <v>0</v>
      </c>
      <c r="G759" s="18">
        <f t="shared" si="508"/>
        <v>0</v>
      </c>
      <c r="H759" s="18">
        <f t="shared" si="508"/>
        <v>0</v>
      </c>
      <c r="I759" s="18">
        <f t="shared" si="508"/>
        <v>0</v>
      </c>
      <c r="J759" s="18">
        <f t="shared" si="508"/>
        <v>1.6215047456060567E-6</v>
      </c>
      <c r="K759" s="18">
        <f t="shared" si="508"/>
        <v>3.5542388396923941E-7</v>
      </c>
    </row>
    <row r="760" spans="2:13" x14ac:dyDescent="0.35">
      <c r="B760" s="5" t="str">
        <f t="shared" si="503"/>
        <v>SPS3</v>
      </c>
      <c r="C760" s="5" t="str">
        <f t="shared" si="505"/>
        <v>CH</v>
      </c>
      <c r="D760" t="s">
        <v>467</v>
      </c>
      <c r="E760" s="5" t="s">
        <v>442</v>
      </c>
      <c r="F760" s="18">
        <f t="shared" ref="F760:K760" si="509">IFERROR(F$736/F$733,0)*F742</f>
        <v>0</v>
      </c>
      <c r="G760" s="18">
        <f t="shared" si="509"/>
        <v>0</v>
      </c>
      <c r="H760" s="18">
        <f t="shared" si="509"/>
        <v>0</v>
      </c>
      <c r="I760" s="18">
        <f t="shared" si="509"/>
        <v>0</v>
      </c>
      <c r="J760" s="18">
        <f t="shared" si="509"/>
        <v>2.6902389454637803E-10</v>
      </c>
      <c r="K760" s="18">
        <f t="shared" si="509"/>
        <v>0</v>
      </c>
    </row>
    <row r="761" spans="2:13" x14ac:dyDescent="0.35">
      <c r="B761" s="9" t="str">
        <f t="shared" si="503"/>
        <v>SPS3</v>
      </c>
      <c r="C761" s="9" t="str">
        <f t="shared" ref="C761:C775" si="510">C760</f>
        <v>CH</v>
      </c>
      <c r="D761" s="2" t="s">
        <v>496</v>
      </c>
      <c r="E761" s="9" t="s">
        <v>8</v>
      </c>
      <c r="F761" s="17">
        <f t="shared" ref="F761:K761" si="511">F762+F766+F776+F787+F789+F801+F803+F805+F809+F811+F813</f>
        <v>142.21812671534803</v>
      </c>
      <c r="G761" s="17">
        <f t="shared" si="511"/>
        <v>141.20304351642778</v>
      </c>
      <c r="H761" s="17">
        <f t="shared" si="511"/>
        <v>142.25371994238435</v>
      </c>
      <c r="I761" s="17">
        <f t="shared" si="511"/>
        <v>132.107506347238</v>
      </c>
      <c r="J761" s="17">
        <f t="shared" si="511"/>
        <v>113.99442542763612</v>
      </c>
      <c r="K761" s="17">
        <f t="shared" si="511"/>
        <v>101.52818515069839</v>
      </c>
    </row>
    <row r="762" spans="2:13" x14ac:dyDescent="0.35">
      <c r="B762" s="5" t="str">
        <f t="shared" si="503"/>
        <v>SPS3</v>
      </c>
      <c r="C762" s="5" t="str">
        <f t="shared" si="510"/>
        <v>CH</v>
      </c>
      <c r="D762" t="s">
        <v>940</v>
      </c>
      <c r="E762" t="s">
        <v>8</v>
      </c>
      <c r="F762" s="18">
        <f>[1]Industry!B$11</f>
        <v>60.070118842059856</v>
      </c>
      <c r="G762" s="18">
        <f>[1]Industry!C$11</f>
        <v>62.576458039865372</v>
      </c>
      <c r="H762" s="18">
        <f>[1]Industry!D$11</f>
        <v>64.081098172085689</v>
      </c>
      <c r="I762" s="18">
        <f>[1]Industry!E$11</f>
        <v>62.871992197184753</v>
      </c>
      <c r="J762" s="18">
        <f>[1]Industry!F$11</f>
        <v>62.674826529617377</v>
      </c>
      <c r="K762" s="18">
        <f>[1]Industry!G$11</f>
        <v>62.838188072453924</v>
      </c>
    </row>
    <row r="763" spans="2:13" x14ac:dyDescent="0.35">
      <c r="B763" s="5" t="str">
        <f t="shared" si="503"/>
        <v>SPS3</v>
      </c>
      <c r="C763" s="5" t="str">
        <f t="shared" si="510"/>
        <v>CH</v>
      </c>
      <c r="D763" t="s">
        <v>758</v>
      </c>
      <c r="E763" t="s">
        <v>8</v>
      </c>
      <c r="F763" s="1">
        <f t="shared" ref="F763:J763" si="512">F762-F764-F765</f>
        <v>11.647007787688892</v>
      </c>
      <c r="G763" s="1">
        <f t="shared" si="512"/>
        <v>12.258994950336898</v>
      </c>
      <c r="H763" s="1">
        <f t="shared" si="512"/>
        <v>12.249240591233459</v>
      </c>
      <c r="I763" s="1">
        <f t="shared" si="512"/>
        <v>12.233042183148591</v>
      </c>
      <c r="J763" s="1">
        <f t="shared" si="512"/>
        <v>12.20076552513391</v>
      </c>
      <c r="K763" s="1">
        <f>K762-K764-K765</f>
        <v>12.168658896185441</v>
      </c>
      <c r="L763" s="1"/>
      <c r="M763" s="1"/>
    </row>
    <row r="764" spans="2:13" x14ac:dyDescent="0.35">
      <c r="B764" s="5" t="str">
        <f t="shared" si="503"/>
        <v>SPS3</v>
      </c>
      <c r="C764" s="5" t="str">
        <f t="shared" si="510"/>
        <v>CH</v>
      </c>
      <c r="D764" t="s">
        <v>721</v>
      </c>
      <c r="E764" t="s">
        <v>8</v>
      </c>
      <c r="F764" s="1" cm="1">
        <f t="array" ref="F764">SUMPRODUCT(([1]OUT_FinalEnergyCons!$B$4:$B$10000="Var_Fin")*1, ([1]OUT_FinalEnergyCons!$C$4:$C$10000="ITOT_ELC")*1, (ISNUMBER(SEARCH("ITOT-SWHELCHP",[1]OUT_FinalEnergyCons!$A$4:$A$10000)))*1,[1]OUT_FinalEnergyCons!D$4:D$10000)</f>
        <v>0.35971340219995557</v>
      </c>
      <c r="G764" s="1" cm="1">
        <f t="array" ref="G764">SUMPRODUCT(([1]OUT_FinalEnergyCons!$B$4:$B$10000="Var_Fin")*1, ([1]OUT_FinalEnergyCons!$C$4:$C$10000="ITOT_ELC")*1, (ISNUMBER(SEARCH("ITOT-SWHELCHP",[1]OUT_FinalEnergyCons!$A$4:$A$10000)))*1,[1]OUT_FinalEnergyCons!E$4:E$10000)</f>
        <v>0.4510769895128689</v>
      </c>
      <c r="H764" s="1" cm="1">
        <f t="array" ref="H764">SUMPRODUCT(([1]OUT_FinalEnergyCons!$B$4:$B$10000="Var_Fin")*1, ([1]OUT_FinalEnergyCons!$C$4:$C$10000="ITOT_ELC")*1, (ISNUMBER(SEARCH("ITOT-SWHELCHP",[1]OUT_FinalEnergyCons!$A$4:$A$10000)))*1,[1]OUT_FinalEnergyCons!F$4:F$10000)</f>
        <v>0.54796386620684912</v>
      </c>
      <c r="I764" s="1" cm="1">
        <f t="array" ref="I764">SUMPRODUCT(([1]OUT_FinalEnergyCons!$B$4:$B$10000="Var_Fin")*1, ([1]OUT_FinalEnergyCons!$C$4:$C$10000="ITOT_ELC")*1, (ISNUMBER(SEARCH("ITOT-SWHELCHP",[1]OUT_FinalEnergyCons!$A$4:$A$10000)))*1,[1]OUT_FinalEnergyCons!G$4:G$10000)</f>
        <v>1.1171328943302676</v>
      </c>
      <c r="J764" s="1" cm="1">
        <f t="array" ref="J764">SUMPRODUCT(([1]OUT_FinalEnergyCons!$B$4:$B$10000="Var_Fin")*1, ([1]OUT_FinalEnergyCons!$C$4:$C$10000="ITOT_ELC")*1, (ISNUMBER(SEARCH("ITOT-SWHELCHP",[1]OUT_FinalEnergyCons!$A$4:$A$10000)))*1,[1]OUT_FinalEnergyCons!H$4:H$10000)</f>
        <v>2.3558584827913487</v>
      </c>
      <c r="K764" s="1" cm="1">
        <f t="array" ref="K764">SUMPRODUCT(([1]OUT_FinalEnergyCons!$B$4:$B$10000="Var_Fin")*1, ([1]OUT_FinalEnergyCons!$C$4:$C$10000="ITOT_ELC")*1, (ISNUMBER(SEARCH("ITOT-SWHELCHP",[1]OUT_FinalEnergyCons!$A$4:$A$10000)))*1,[1]OUT_FinalEnergyCons!I$4:I$10000)</f>
        <v>2.2719982296994461</v>
      </c>
    </row>
    <row r="765" spans="2:13" x14ac:dyDescent="0.35">
      <c r="B765" s="5" t="str">
        <f t="shared" si="503"/>
        <v>SPS3</v>
      </c>
      <c r="C765" s="5" t="str">
        <f t="shared" si="510"/>
        <v>CH</v>
      </c>
      <c r="D765" t="s">
        <v>468</v>
      </c>
      <c r="E765" t="s">
        <v>8</v>
      </c>
      <c r="F765" s="1">
        <f>[1]Industry!B$11-[1]Industry!B$33</f>
        <v>48.063397652171005</v>
      </c>
      <c r="G765" s="1">
        <f>[1]Industry!C$11-[1]Industry!C$33</f>
        <v>49.866386100015603</v>
      </c>
      <c r="H765" s="1">
        <f>[1]Industry!D$11-[1]Industry!D$33</f>
        <v>51.28389371464538</v>
      </c>
      <c r="I765" s="1">
        <f>[1]Industry!E$11-[1]Industry!E$33</f>
        <v>49.521817119705894</v>
      </c>
      <c r="J765" s="1">
        <f>[1]Industry!F$11-[1]Industry!F$33</f>
        <v>48.118202521692119</v>
      </c>
      <c r="K765" s="1">
        <f>[1]Industry!G$11-[1]Industry!G$33</f>
        <v>48.397530946569034</v>
      </c>
    </row>
    <row r="766" spans="2:13" x14ac:dyDescent="0.35">
      <c r="B766" s="5" t="str">
        <f t="shared" si="503"/>
        <v>SPS3</v>
      </c>
      <c r="C766" s="5" t="str">
        <f t="shared" si="510"/>
        <v>CH</v>
      </c>
      <c r="D766" t="s">
        <v>469</v>
      </c>
      <c r="E766" t="s">
        <v>8</v>
      </c>
      <c r="F766" s="1">
        <f>SUM(F769,F774)</f>
        <v>11.627913359250183</v>
      </c>
      <c r="G766" s="1">
        <f t="shared" ref="G766:K766" si="513">SUM(G769,G774)</f>
        <v>10.823596493952074</v>
      </c>
      <c r="H766" s="1">
        <f t="shared" si="513"/>
        <v>7.9642393399664408</v>
      </c>
      <c r="I766" s="1">
        <f t="shared" si="513"/>
        <v>5.9114191065153747</v>
      </c>
      <c r="J766" s="1">
        <f t="shared" si="513"/>
        <v>2.5514987712773798</v>
      </c>
      <c r="K766" s="1">
        <f t="shared" si="513"/>
        <v>0.162519103788272</v>
      </c>
    </row>
    <row r="767" spans="2:13" x14ac:dyDescent="0.35">
      <c r="B767" s="5" t="str">
        <f t="shared" si="503"/>
        <v>SPS3</v>
      </c>
      <c r="C767" s="5" t="str">
        <f t="shared" si="510"/>
        <v>CH</v>
      </c>
      <c r="D767" t="s">
        <v>470</v>
      </c>
      <c r="E767" t="s">
        <v>8</v>
      </c>
      <c r="F767" s="1">
        <f>SUM(F771,F775)</f>
        <v>8.8978792214266686</v>
      </c>
      <c r="G767" s="1">
        <f t="shared" ref="G767:K767" si="514">SUM(G771,G775)</f>
        <v>8.1053310294161172</v>
      </c>
      <c r="H767" s="1">
        <f t="shared" si="514"/>
        <v>7.9569982739552536</v>
      </c>
      <c r="I767" s="1">
        <f t="shared" si="514"/>
        <v>5.9112661964402964</v>
      </c>
      <c r="J767" s="1">
        <f t="shared" si="514"/>
        <v>2.551347502955617</v>
      </c>
      <c r="K767" s="1">
        <f t="shared" si="514"/>
        <v>0.162519103788272</v>
      </c>
    </row>
    <row r="768" spans="2:13" x14ac:dyDescent="0.35">
      <c r="B768" s="5" t="str">
        <f t="shared" si="503"/>
        <v>SPS3</v>
      </c>
      <c r="C768" s="5" t="str">
        <f t="shared" si="510"/>
        <v>CH</v>
      </c>
      <c r="D768" t="s">
        <v>471</v>
      </c>
      <c r="E768" t="s">
        <v>8</v>
      </c>
      <c r="F768" s="1">
        <f>F773</f>
        <v>2.7300341378235147</v>
      </c>
      <c r="G768" s="1">
        <f t="shared" ref="G768:K768" si="515">G773</f>
        <v>2.718265464535957</v>
      </c>
      <c r="H768" s="1">
        <f t="shared" si="515"/>
        <v>7.2410660111872967E-3</v>
      </c>
      <c r="I768" s="1">
        <f t="shared" si="515"/>
        <v>1.5291007507858736E-4</v>
      </c>
      <c r="J768" s="1">
        <f t="shared" si="515"/>
        <v>1.5126832176283282E-4</v>
      </c>
      <c r="K768" s="1">
        <f t="shared" si="515"/>
        <v>0</v>
      </c>
    </row>
    <row r="769" spans="2:11" x14ac:dyDescent="0.35">
      <c r="B769" s="5" t="str">
        <f t="shared" si="503"/>
        <v>SPS3</v>
      </c>
      <c r="C769" s="5" t="str">
        <f t="shared" si="510"/>
        <v>CH</v>
      </c>
      <c r="D769" t="s">
        <v>941</v>
      </c>
      <c r="E769" t="s">
        <v>8</v>
      </c>
      <c r="F769" s="1">
        <f>SUM(F770,F772)</f>
        <v>11.627913359250183</v>
      </c>
      <c r="G769" s="1">
        <f t="shared" ref="G769:K769" si="516">SUM(G770,G772)</f>
        <v>10.823596493952074</v>
      </c>
      <c r="H769" s="1">
        <f t="shared" si="516"/>
        <v>7.9641086294356471</v>
      </c>
      <c r="I769" s="1">
        <f t="shared" si="516"/>
        <v>5.7619258361737469</v>
      </c>
      <c r="J769" s="1">
        <f t="shared" si="516"/>
        <v>2.3886650196204324</v>
      </c>
      <c r="K769" s="1">
        <f t="shared" si="516"/>
        <v>1.5219917062954575E-5</v>
      </c>
    </row>
    <row r="770" spans="2:11" x14ac:dyDescent="0.35">
      <c r="B770" s="5" t="str">
        <f t="shared" si="503"/>
        <v>SPS3</v>
      </c>
      <c r="C770" s="5" t="str">
        <f t="shared" si="510"/>
        <v>CH</v>
      </c>
      <c r="D770" t="s">
        <v>525</v>
      </c>
      <c r="E770" t="s">
        <v>8</v>
      </c>
      <c r="F770" s="1">
        <f>[1]Industry!B$34</f>
        <v>8.8978792214266686</v>
      </c>
      <c r="G770" s="1">
        <f>[1]Industry!C$34</f>
        <v>8.1053310294161172</v>
      </c>
      <c r="H770" s="1">
        <f>[1]Industry!D$34</f>
        <v>7.9568675634244599</v>
      </c>
      <c r="I770" s="1">
        <f>[1]Industry!E$34</f>
        <v>5.7617729260986685</v>
      </c>
      <c r="J770" s="1">
        <f>[1]Industry!F$34</f>
        <v>2.3885137512986696</v>
      </c>
      <c r="K770" s="1">
        <f>[1]Industry!G$34</f>
        <v>1.5219917062954575E-5</v>
      </c>
    </row>
    <row r="771" spans="2:11" x14ac:dyDescent="0.35">
      <c r="B771" s="5" t="str">
        <f t="shared" si="503"/>
        <v>SPS3</v>
      </c>
      <c r="C771" s="5" t="str">
        <f t="shared" si="510"/>
        <v>CH</v>
      </c>
      <c r="D771" t="s">
        <v>526</v>
      </c>
      <c r="E771" t="s">
        <v>8</v>
      </c>
      <c r="F771" s="1">
        <f>F770</f>
        <v>8.8978792214266686</v>
      </c>
      <c r="G771" s="1">
        <f t="shared" ref="G771:K771" si="517">G770</f>
        <v>8.1053310294161172</v>
      </c>
      <c r="H771" s="1">
        <f t="shared" si="517"/>
        <v>7.9568675634244599</v>
      </c>
      <c r="I771" s="1">
        <f t="shared" si="517"/>
        <v>5.7617729260986685</v>
      </c>
      <c r="J771" s="1">
        <f t="shared" si="517"/>
        <v>2.3885137512986696</v>
      </c>
      <c r="K771" s="1">
        <f t="shared" si="517"/>
        <v>1.5219917062954575E-5</v>
      </c>
    </row>
    <row r="772" spans="2:11" x14ac:dyDescent="0.35">
      <c r="B772" s="5" t="str">
        <f t="shared" si="503"/>
        <v>SPS3</v>
      </c>
      <c r="C772" s="5" t="str">
        <f t="shared" si="510"/>
        <v>CH</v>
      </c>
      <c r="D772" t="s">
        <v>527</v>
      </c>
      <c r="E772" t="s">
        <v>8</v>
      </c>
      <c r="F772" s="1">
        <f>[1]Industry!B$35</f>
        <v>2.7300341378235147</v>
      </c>
      <c r="G772" s="1">
        <f>[1]Industry!C$35</f>
        <v>2.718265464535957</v>
      </c>
      <c r="H772" s="1">
        <f>[1]Industry!D$35</f>
        <v>7.2410660111872967E-3</v>
      </c>
      <c r="I772" s="1">
        <f>[1]Industry!E$35</f>
        <v>1.5291007507858736E-4</v>
      </c>
      <c r="J772" s="1">
        <f>[1]Industry!F$35</f>
        <v>1.5126832176283282E-4</v>
      </c>
      <c r="K772" s="1">
        <f>[1]Industry!G$35</f>
        <v>0</v>
      </c>
    </row>
    <row r="773" spans="2:11" x14ac:dyDescent="0.35">
      <c r="B773" s="5" t="str">
        <f t="shared" si="503"/>
        <v>SPS3</v>
      </c>
      <c r="C773" s="5" t="str">
        <f t="shared" si="510"/>
        <v>CH</v>
      </c>
      <c r="D773" t="s">
        <v>944</v>
      </c>
      <c r="E773" t="s">
        <v>8</v>
      </c>
      <c r="F773" s="1">
        <f>F772</f>
        <v>2.7300341378235147</v>
      </c>
      <c r="G773" s="1">
        <f t="shared" ref="G773:K773" si="518">G772</f>
        <v>2.718265464535957</v>
      </c>
      <c r="H773" s="1">
        <f t="shared" si="518"/>
        <v>7.2410660111872967E-3</v>
      </c>
      <c r="I773" s="1">
        <f t="shared" si="518"/>
        <v>1.5291007507858736E-4</v>
      </c>
      <c r="J773" s="1">
        <f t="shared" si="518"/>
        <v>1.5126832176283282E-4</v>
      </c>
      <c r="K773" s="1">
        <f t="shared" si="518"/>
        <v>0</v>
      </c>
    </row>
    <row r="774" spans="2:11" x14ac:dyDescent="0.35">
      <c r="B774" s="5" t="str">
        <f t="shared" si="503"/>
        <v>SPS3</v>
      </c>
      <c r="C774" s="5" t="str">
        <f t="shared" si="510"/>
        <v>CH</v>
      </c>
      <c r="D774" t="s">
        <v>942</v>
      </c>
      <c r="E774" t="s">
        <v>8</v>
      </c>
      <c r="F774" s="1">
        <f>[1]Industry!B$36</f>
        <v>0</v>
      </c>
      <c r="G774" s="1">
        <f>[1]Industry!C$36</f>
        <v>0</v>
      </c>
      <c r="H774" s="1">
        <f>[1]Industry!D$36</f>
        <v>1.3071053079341047E-4</v>
      </c>
      <c r="I774" s="1">
        <f>[1]Industry!E$36</f>
        <v>0.14949327034162757</v>
      </c>
      <c r="J774" s="1">
        <f>[1]Industry!F$36</f>
        <v>0.1628337516569473</v>
      </c>
      <c r="K774" s="1">
        <f>[1]Industry!G$36</f>
        <v>0.16250388387120904</v>
      </c>
    </row>
    <row r="775" spans="2:11" x14ac:dyDescent="0.35">
      <c r="B775" s="5" t="str">
        <f t="shared" si="503"/>
        <v>SPS3</v>
      </c>
      <c r="C775" s="5" t="str">
        <f t="shared" si="510"/>
        <v>CH</v>
      </c>
      <c r="D775" t="s">
        <v>943</v>
      </c>
      <c r="E775" t="s">
        <v>8</v>
      </c>
      <c r="F775" s="1">
        <f>F774</f>
        <v>0</v>
      </c>
      <c r="G775" s="1">
        <f t="shared" ref="G775:K775" si="519">G774</f>
        <v>0</v>
      </c>
      <c r="H775" s="1">
        <f t="shared" si="519"/>
        <v>1.3071053079341047E-4</v>
      </c>
      <c r="I775" s="1">
        <f t="shared" si="519"/>
        <v>0.14949327034162757</v>
      </c>
      <c r="J775" s="1">
        <f t="shared" si="519"/>
        <v>0.1628337516569473</v>
      </c>
      <c r="K775" s="1">
        <f t="shared" si="519"/>
        <v>0.16250388387120904</v>
      </c>
    </row>
    <row r="776" spans="2:11" x14ac:dyDescent="0.35">
      <c r="B776" s="5" t="str">
        <f t="shared" si="503"/>
        <v>SPS3</v>
      </c>
      <c r="C776" s="5" t="str">
        <f t="shared" ref="C776:C777" si="520">C775</f>
        <v>CH</v>
      </c>
      <c r="D776" t="s">
        <v>472</v>
      </c>
      <c r="E776" t="s">
        <v>8</v>
      </c>
      <c r="F776" s="1">
        <f>SUM([1]Industry!B$37:B$39)</f>
        <v>35.989162083323613</v>
      </c>
      <c r="G776" s="1">
        <f>SUM([1]Industry!C$37:C$39)</f>
        <v>30.236744352889144</v>
      </c>
      <c r="H776" s="1">
        <f>SUM([1]Industry!D$37:D$39)</f>
        <v>37.992928663274412</v>
      </c>
      <c r="I776" s="1">
        <f>SUM([1]Industry!E$37:E$39)</f>
        <v>27.433375012228247</v>
      </c>
      <c r="J776" s="1">
        <f>SUM([1]Industry!F$37:F$39)</f>
        <v>9.7803413064714082</v>
      </c>
      <c r="K776" s="1">
        <f>SUM([1]Industry!G$37:G$39)</f>
        <v>4.3779843087355861</v>
      </c>
    </row>
    <row r="777" spans="2:11" x14ac:dyDescent="0.35">
      <c r="B777" s="5" t="str">
        <f t="shared" si="503"/>
        <v>SPS3</v>
      </c>
      <c r="C777" s="5" t="str">
        <f t="shared" si="520"/>
        <v>CH</v>
      </c>
      <c r="D777" t="s">
        <v>678</v>
      </c>
      <c r="E777" t="s">
        <v>8</v>
      </c>
      <c r="F777" s="1">
        <f>SUM([1]Industry!B$37:B$38)-F778</f>
        <v>35.55164312794394</v>
      </c>
      <c r="G777" s="1">
        <f>SUM([1]Industry!C$37:C$38)-G778</f>
        <v>29.683959570538228</v>
      </c>
      <c r="H777" s="1">
        <f>SUM([1]Industry!D$37:D$38)-H778</f>
        <v>37.438573087059773</v>
      </c>
      <c r="I777" s="1">
        <f>SUM([1]Industry!E$37:E$38)-I778</f>
        <v>26.879028803648339</v>
      </c>
      <c r="J777" s="1">
        <f>SUM([1]Industry!F$37:F$38)-J778</f>
        <v>9.2259977797541275</v>
      </c>
      <c r="K777" s="1">
        <f>SUM([1]Industry!G$37:G$38)-K778</f>
        <v>3.8236413166033389</v>
      </c>
    </row>
    <row r="778" spans="2:11" x14ac:dyDescent="0.35">
      <c r="B778" s="5" t="str">
        <f t="shared" si="503"/>
        <v>SPS3</v>
      </c>
      <c r="C778" s="5" t="str">
        <f t="shared" ref="C778" si="521">C777</f>
        <v>CH</v>
      </c>
      <c r="D778" t="s">
        <v>722</v>
      </c>
      <c r="E778" t="s">
        <v>8</v>
      </c>
      <c r="F778" s="1" cm="1">
        <f t="array" ref="F778">SUMPRODUCT(([1]OUT_FinalEnergyCons!$B$4:$B$10000="Var_Fin")*1,  ([1]OUT_FinalEnergyCons!$C$4:$C$10000="Inga")*1,(ISNUMBER(SEARCH("ITOT-SWHNGAHP",[1]OUT_FinalEnergyCons!$A$4:$A$10000)))*1,[1]OUT_FinalEnergyCons!H$4:H$10000)</f>
        <v>7.2998433808580678E-4</v>
      </c>
      <c r="G778" s="1" cm="1">
        <f t="array" ref="G778">SUMPRODUCT(([1]OUT_FinalEnergyCons!$B$4:$B$10000="Var_Fin")*1,  ([1]OUT_FinalEnergyCons!$C$4:$C$10000="Inga")*1,(ISNUMBER(SEARCH("ITOT-SWHNGAHP",[1]OUT_FinalEnergyCons!$A$4:$A$10000)))*1,[1]OUT_FinalEnergyCons!I$4:I$10000)</f>
        <v>7.0378802919836433E-4</v>
      </c>
      <c r="H778" s="1" cm="1">
        <f t="array" ref="H778">SUMPRODUCT(([1]OUT_FinalEnergyCons!$B$4:$B$10000="Var_Fin")*1,  ([1]OUT_FinalEnergyCons!$C$4:$C$10000="Inga")*1,(ISNUMBER(SEARCH("ITOT-SWHNGAHP",[1]OUT_FinalEnergyCons!$A$4:$A$10000)))*1,[1]OUT_FinalEnergyCons!J$4:J$10000)</f>
        <v>0</v>
      </c>
      <c r="I778" s="1" cm="1">
        <f t="array" ref="I778">SUMPRODUCT(([1]OUT_FinalEnergyCons!$B$4:$B$10000="Var_Fin")*1,  ([1]OUT_FinalEnergyCons!$C$4:$C$10000="Inga")*1,(ISNUMBER(SEARCH("ITOT-SWHNGAHP",[1]OUT_FinalEnergyCons!$A$4:$A$10000)))*1,[1]OUT_FinalEnergyCons!K$4:K$10000)</f>
        <v>0</v>
      </c>
      <c r="J778" s="1" cm="1">
        <f t="array" ref="J778">SUMPRODUCT(([1]OUT_FinalEnergyCons!$B$4:$B$10000="Var_Fin")*1,  ([1]OUT_FinalEnergyCons!$C$4:$C$10000="Inga")*1,(ISNUMBER(SEARCH("ITOT-SWHNGAHP",[1]OUT_FinalEnergyCons!$A$4:$A$10000)))*1,[1]OUT_FinalEnergyCons!L$4:L$10000)</f>
        <v>0</v>
      </c>
      <c r="K778" s="1" cm="1">
        <f t="array" ref="K778">SUMPRODUCT(([1]OUT_FinalEnergyCons!$B$4:$B$10000="Var_Fin")*1,  ([1]OUT_FinalEnergyCons!$C$4:$C$10000="Inga")*1,(ISNUMBER(SEARCH("ITOT-SWHNGAHP",[1]OUT_FinalEnergyCons!$A$4:$A$10000)))*1,[1]OUT_FinalEnergyCons!M$4:M$10000)</f>
        <v>0</v>
      </c>
    </row>
    <row r="779" spans="2:11" x14ac:dyDescent="0.35">
      <c r="B779" s="5" t="str">
        <f t="shared" si="503"/>
        <v>SPS3</v>
      </c>
      <c r="C779" s="5" t="str">
        <f>C777</f>
        <v>CH</v>
      </c>
      <c r="D779" t="s">
        <v>473</v>
      </c>
      <c r="E779" t="s">
        <v>8</v>
      </c>
      <c r="F779" s="1">
        <f t="shared" ref="F779:K779" si="522">F776-F777</f>
        <v>0.437518955379673</v>
      </c>
      <c r="G779" s="1">
        <f t="shared" si="522"/>
        <v>0.55278478235091555</v>
      </c>
      <c r="H779" s="1">
        <f t="shared" si="522"/>
        <v>0.55435557621463971</v>
      </c>
      <c r="I779" s="1">
        <f t="shared" si="522"/>
        <v>0.5543462085799078</v>
      </c>
      <c r="J779" s="1">
        <f t="shared" si="522"/>
        <v>0.55434352671728071</v>
      </c>
      <c r="K779" s="1">
        <f t="shared" si="522"/>
        <v>0.55434299213224714</v>
      </c>
    </row>
    <row r="780" spans="2:11" x14ac:dyDescent="0.35">
      <c r="B780" s="5" t="str">
        <f t="shared" si="503"/>
        <v>SPS3</v>
      </c>
      <c r="C780" s="5" t="str">
        <f t="shared" ref="C780:C788" si="523">C779</f>
        <v>CH</v>
      </c>
      <c r="D780" t="s">
        <v>945</v>
      </c>
      <c r="E780" t="s">
        <v>8</v>
      </c>
      <c r="F780" s="1">
        <f>[1]Industry!B$37</f>
        <v>35.242229540348696</v>
      </c>
      <c r="G780" s="1">
        <f>[1]Industry!C$37</f>
        <v>29.684629305311443</v>
      </c>
      <c r="H780" s="1">
        <f>[1]Industry!D$37</f>
        <v>33.525946617627007</v>
      </c>
      <c r="I780" s="1">
        <f>[1]Industry!E$37</f>
        <v>22.959625793533458</v>
      </c>
      <c r="J780" s="1">
        <f>[1]Industry!F$37</f>
        <v>5.4219827701332672</v>
      </c>
      <c r="K780" s="1">
        <f>[1]Industry!G$37</f>
        <v>4.1095779844456174E-5</v>
      </c>
    </row>
    <row r="781" spans="2:11" x14ac:dyDescent="0.35">
      <c r="B781" s="5" t="str">
        <f t="shared" si="503"/>
        <v>SPS3</v>
      </c>
      <c r="C781" s="5" t="str">
        <f t="shared" si="523"/>
        <v>CH</v>
      </c>
      <c r="D781" t="s">
        <v>679</v>
      </c>
      <c r="E781" t="s">
        <v>8</v>
      </c>
      <c r="F781" s="1">
        <f>[1]Industry!B$37*F777/SUM(F777:F778)</f>
        <v>35.241505924079185</v>
      </c>
      <c r="G781" s="1">
        <f>[1]Industry!C$37*G777/SUM(G777:G778)</f>
        <v>29.683925518089605</v>
      </c>
      <c r="H781" s="1">
        <f>[1]Industry!D$37*H777/SUM(H777:H778)</f>
        <v>33.525946617627007</v>
      </c>
      <c r="I781" s="1">
        <f>[1]Industry!E$37*I777/SUM(I777:I778)</f>
        <v>22.959625793533458</v>
      </c>
      <c r="J781" s="1">
        <f>[1]Industry!F$37*J777/SUM(J777:J778)</f>
        <v>5.4219827701332672</v>
      </c>
      <c r="K781" s="1">
        <f>[1]Industry!G$37*K777/SUM(K777:K778)</f>
        <v>4.1095779844456174E-5</v>
      </c>
    </row>
    <row r="782" spans="2:11" x14ac:dyDescent="0.35">
      <c r="B782" s="5" t="str">
        <f t="shared" si="503"/>
        <v>SPS3</v>
      </c>
      <c r="C782" s="5" t="str">
        <f t="shared" ref="C782" si="524">C781</f>
        <v>CH</v>
      </c>
      <c r="D782" t="s">
        <v>723</v>
      </c>
      <c r="E782" t="s">
        <v>8</v>
      </c>
      <c r="F782" s="1">
        <f>F780-F781</f>
        <v>7.2361626951078506E-4</v>
      </c>
      <c r="G782" s="1">
        <f t="shared" ref="G782:K782" si="525">G780-G781</f>
        <v>7.0378722183761511E-4</v>
      </c>
      <c r="H782" s="1">
        <f t="shared" si="525"/>
        <v>0</v>
      </c>
      <c r="I782" s="1">
        <f t="shared" si="525"/>
        <v>0</v>
      </c>
      <c r="J782" s="1">
        <f t="shared" si="525"/>
        <v>0</v>
      </c>
      <c r="K782" s="1">
        <f t="shared" si="525"/>
        <v>0</v>
      </c>
    </row>
    <row r="783" spans="2:11" x14ac:dyDescent="0.35">
      <c r="B783" s="5" t="str">
        <f t="shared" si="503"/>
        <v>SPS3</v>
      </c>
      <c r="C783" s="5" t="str">
        <f>C781</f>
        <v>CH</v>
      </c>
      <c r="D783" t="s">
        <v>946</v>
      </c>
      <c r="E783" t="s">
        <v>8</v>
      </c>
      <c r="F783" s="1">
        <f>SUM(F784:F786)</f>
        <v>0.74693254297491862</v>
      </c>
      <c r="G783" s="1">
        <f t="shared" ref="G783:K783" si="526">SUM(G784:G786)</f>
        <v>0.55211504757770158</v>
      </c>
      <c r="H783" s="1">
        <f t="shared" si="526"/>
        <v>4.4669820456474039</v>
      </c>
      <c r="I783" s="1">
        <f t="shared" si="526"/>
        <v>4.4737492186947883</v>
      </c>
      <c r="J783" s="1">
        <f t="shared" si="526"/>
        <v>4.3583585363381401</v>
      </c>
      <c r="K783" s="1">
        <f t="shared" si="526"/>
        <v>4.3779432129557421</v>
      </c>
    </row>
    <row r="784" spans="2:11" x14ac:dyDescent="0.35">
      <c r="B784" s="5" t="str">
        <f t="shared" si="503"/>
        <v>SPS3</v>
      </c>
      <c r="C784" s="5" t="str">
        <f t="shared" si="523"/>
        <v>CH</v>
      </c>
      <c r="D784" t="s">
        <v>680</v>
      </c>
      <c r="E784" t="s">
        <v>8</v>
      </c>
      <c r="F784" s="1">
        <f>[1]Industry!B$38*F777/SUM(F777:F778)</f>
        <v>0.31013720386475219</v>
      </c>
      <c r="G784" s="1">
        <f>[1]Industry!C$38*G777/SUM(G777:G778)</f>
        <v>3.4052448622218772E-5</v>
      </c>
      <c r="H784" s="1">
        <f>[1]Industry!D$38*H777/SUM(H777:H778)</f>
        <v>3.912626469432765</v>
      </c>
      <c r="I784" s="1">
        <f>[1]Industry!E$38*I777/SUM(I777:I778)</f>
        <v>3.9194030101148805</v>
      </c>
      <c r="J784" s="1">
        <f>[1]Industry!F$38*J777/SUM(J777:J778)</f>
        <v>3.8040150096208598</v>
      </c>
      <c r="K784" s="1">
        <f>[1]Industry!G$38*K777/SUM(K777:K778)</f>
        <v>3.8236002208234945</v>
      </c>
    </row>
    <row r="785" spans="2:13" x14ac:dyDescent="0.35">
      <c r="B785" s="5" t="str">
        <f t="shared" si="503"/>
        <v>SPS3</v>
      </c>
      <c r="C785" s="5" t="str">
        <f t="shared" ref="C785" si="527">C784</f>
        <v>CH</v>
      </c>
      <c r="D785" t="s">
        <v>724</v>
      </c>
      <c r="E785" t="s">
        <v>8</v>
      </c>
      <c r="F785" s="1">
        <f>[1]Industry!B$38-F784</f>
        <v>6.3680685774003543E-6</v>
      </c>
      <c r="G785" s="1">
        <f>[1]Industry!C$38-G784</f>
        <v>8.0736215963043111E-10</v>
      </c>
      <c r="H785" s="1">
        <f>[1]Industry!D$38-H784</f>
        <v>0</v>
      </c>
      <c r="I785" s="1">
        <f>[1]Industry!E$38-I784</f>
        <v>0</v>
      </c>
      <c r="J785" s="1">
        <f>[1]Industry!F$38-J784</f>
        <v>0</v>
      </c>
      <c r="K785" s="1">
        <f>[1]Industry!G$38-K784</f>
        <v>0</v>
      </c>
    </row>
    <row r="786" spans="2:13" x14ac:dyDescent="0.35">
      <c r="B786" s="5" t="str">
        <f t="shared" si="503"/>
        <v>SPS3</v>
      </c>
      <c r="C786" s="5" t="str">
        <f>C784</f>
        <v>CH</v>
      </c>
      <c r="D786" t="s">
        <v>672</v>
      </c>
      <c r="E786" t="s">
        <v>8</v>
      </c>
      <c r="F786" s="1">
        <f>[1]Industry!B$39</f>
        <v>0.43678897104158904</v>
      </c>
      <c r="G786" s="1">
        <f>[1]Industry!C$39</f>
        <v>0.5520809943217172</v>
      </c>
      <c r="H786" s="1">
        <f>[1]Industry!D$39</f>
        <v>0.55435557621463849</v>
      </c>
      <c r="I786" s="1">
        <f>[1]Industry!E$39</f>
        <v>0.55434620857990757</v>
      </c>
      <c r="J786" s="1">
        <f>[1]Industry!F$39</f>
        <v>0.5543435267172806</v>
      </c>
      <c r="K786" s="1">
        <f>[1]Industry!G$39</f>
        <v>0.55434299213224747</v>
      </c>
    </row>
    <row r="787" spans="2:13" x14ac:dyDescent="0.35">
      <c r="B787" s="5" t="str">
        <f t="shared" si="503"/>
        <v>SPS3</v>
      </c>
      <c r="C787" s="5" t="str">
        <f t="shared" si="523"/>
        <v>CH</v>
      </c>
      <c r="D787" t="s">
        <v>947</v>
      </c>
      <c r="E787" t="s">
        <v>8</v>
      </c>
      <c r="F787" s="1">
        <f>[1]Industry!B$18</f>
        <v>3.5600697668375831</v>
      </c>
      <c r="G787" s="1">
        <f>[1]Industry!C$18</f>
        <v>3.4647336066615742</v>
      </c>
      <c r="H787" s="1">
        <f>[1]Industry!D$18</f>
        <v>1.3678960371944753</v>
      </c>
      <c r="I787" s="1">
        <f>[1]Industry!E$18</f>
        <v>9.6632042803424385E-5</v>
      </c>
      <c r="J787" s="1">
        <f>[1]Industry!F$18</f>
        <v>1.1673944620316094E-4</v>
      </c>
      <c r="K787" s="1">
        <f>[1]Industry!G$18</f>
        <v>8.4194731248640261E-6</v>
      </c>
    </row>
    <row r="788" spans="2:13" x14ac:dyDescent="0.35">
      <c r="B788" s="5" t="str">
        <f t="shared" si="503"/>
        <v>SPS3</v>
      </c>
      <c r="C788" s="5" t="str">
        <f t="shared" si="523"/>
        <v>CH</v>
      </c>
      <c r="D788" t="s">
        <v>948</v>
      </c>
      <c r="E788" t="s">
        <v>8</v>
      </c>
      <c r="F788" s="1">
        <f>F787</f>
        <v>3.5600697668375831</v>
      </c>
      <c r="G788" s="1">
        <f t="shared" ref="G788:K788" si="528">G787</f>
        <v>3.4647336066615742</v>
      </c>
      <c r="H788" s="1">
        <f t="shared" si="528"/>
        <v>1.3678960371944753</v>
      </c>
      <c r="I788" s="1">
        <f t="shared" si="528"/>
        <v>9.6632042803424385E-5</v>
      </c>
      <c r="J788" s="1">
        <f t="shared" si="528"/>
        <v>1.1673944620316094E-4</v>
      </c>
      <c r="K788" s="1">
        <f t="shared" si="528"/>
        <v>8.4194731248640261E-6</v>
      </c>
    </row>
    <row r="789" spans="2:13" x14ac:dyDescent="0.35">
      <c r="B789" s="5" t="str">
        <f t="shared" si="503"/>
        <v>SPS3</v>
      </c>
      <c r="C789" s="5" t="str">
        <f t="shared" ref="C789:C790" si="529">C788</f>
        <v>CH</v>
      </c>
      <c r="D789" t="s">
        <v>949</v>
      </c>
      <c r="E789" t="s">
        <v>8</v>
      </c>
      <c r="F789" s="1">
        <f>[1]Industry!B$19</f>
        <v>12.728685381169104</v>
      </c>
      <c r="G789" s="1">
        <f>[1]Industry!C$19</f>
        <v>13.638441840349603</v>
      </c>
      <c r="H789" s="1">
        <f>[1]Industry!D$19</f>
        <v>13.447828334474124</v>
      </c>
      <c r="I789" s="1">
        <f>[1]Industry!E$19</f>
        <v>14.880292409060052</v>
      </c>
      <c r="J789" s="1">
        <f>[1]Industry!F$19</f>
        <v>13.838525519441689</v>
      </c>
      <c r="K789" s="1">
        <f>[1]Industry!G$19</f>
        <v>17.230803881262947</v>
      </c>
    </row>
    <row r="790" spans="2:13" x14ac:dyDescent="0.35">
      <c r="B790" s="5" t="str">
        <f t="shared" si="503"/>
        <v>SPS3</v>
      </c>
      <c r="C790" s="5" t="str">
        <f t="shared" si="529"/>
        <v>CH</v>
      </c>
      <c r="D790" t="s">
        <v>950</v>
      </c>
      <c r="E790" t="s">
        <v>8</v>
      </c>
      <c r="F790" s="1">
        <f>SUM(F791:F799)</f>
        <v>4.3033658891268436</v>
      </c>
      <c r="G790" s="1">
        <f t="shared" ref="G790:K790" si="530">SUM(G791:G799)</f>
        <v>5.0861222769023193</v>
      </c>
      <c r="H790" s="1">
        <f t="shared" si="530"/>
        <v>6.0478950396541791</v>
      </c>
      <c r="I790" s="1">
        <f t="shared" si="530"/>
        <v>8.3928811872104561</v>
      </c>
      <c r="J790" s="1">
        <f t="shared" si="530"/>
        <v>9.0439487681345572</v>
      </c>
      <c r="K790" s="1">
        <f t="shared" si="530"/>
        <v>12.218022658686198</v>
      </c>
      <c r="M790" s="1"/>
    </row>
    <row r="791" spans="2:13" x14ac:dyDescent="0.35">
      <c r="B791" s="5" t="str">
        <f t="shared" si="503"/>
        <v>SPS3</v>
      </c>
      <c r="C791" s="5" t="str">
        <f t="shared" ref="C791:C808" si="531">C790</f>
        <v>CH</v>
      </c>
      <c r="D791" t="s">
        <v>481</v>
      </c>
      <c r="E791" t="s">
        <v>8</v>
      </c>
      <c r="F791" s="1">
        <f>F233</f>
        <v>0.92958358177345157</v>
      </c>
      <c r="G791" s="1">
        <f t="shared" ref="G791:K791" si="532">G233</f>
        <v>2.0704381554654616</v>
      </c>
      <c r="H791" s="1">
        <f t="shared" si="532"/>
        <v>4.8121781026068566E-2</v>
      </c>
      <c r="I791" s="1">
        <f t="shared" si="532"/>
        <v>1.0811480223794336</v>
      </c>
      <c r="J791" s="1">
        <f t="shared" si="532"/>
        <v>1.2717703787906514E-3</v>
      </c>
      <c r="K791" s="1">
        <f t="shared" si="532"/>
        <v>2.7622953017343354E-4</v>
      </c>
    </row>
    <row r="792" spans="2:13" x14ac:dyDescent="0.35">
      <c r="B792" s="5" t="str">
        <f t="shared" si="503"/>
        <v>SPS3</v>
      </c>
      <c r="C792" s="5" t="str">
        <f t="shared" si="531"/>
        <v>CH</v>
      </c>
      <c r="D792" t="s">
        <v>482</v>
      </c>
      <c r="E792" t="s">
        <v>8</v>
      </c>
      <c r="F792" s="1">
        <f>F239</f>
        <v>0.77918711338105484</v>
      </c>
      <c r="G792" s="1">
        <f t="shared" ref="G792:K792" si="533">G239</f>
        <v>0.58598845857301995</v>
      </c>
      <c r="H792" s="1">
        <f t="shared" si="533"/>
        <v>6.26516407744349E-2</v>
      </c>
      <c r="I792" s="1">
        <f t="shared" si="533"/>
        <v>2.6862301045880579E-2</v>
      </c>
      <c r="J792" s="1">
        <f t="shared" si="533"/>
        <v>6.1726628082061008E-3</v>
      </c>
      <c r="K792" s="1">
        <f t="shared" si="533"/>
        <v>8.7628939903355136E-4</v>
      </c>
    </row>
    <row r="793" spans="2:13" x14ac:dyDescent="0.35">
      <c r="B793" s="5" t="str">
        <f t="shared" si="503"/>
        <v>SPS3</v>
      </c>
      <c r="C793" s="5" t="str">
        <f t="shared" si="531"/>
        <v>CH</v>
      </c>
      <c r="D793" t="s">
        <v>483</v>
      </c>
      <c r="E793" t="s">
        <v>8</v>
      </c>
      <c r="F793" s="1">
        <f>F240</f>
        <v>0</v>
      </c>
      <c r="G793" s="1">
        <f t="shared" ref="G793:K793" si="534">G240</f>
        <v>0</v>
      </c>
      <c r="H793" s="1">
        <f t="shared" si="534"/>
        <v>0</v>
      </c>
      <c r="I793" s="1">
        <f t="shared" si="534"/>
        <v>0</v>
      </c>
      <c r="J793" s="1">
        <f t="shared" si="534"/>
        <v>3.4985483723713246E-4</v>
      </c>
      <c r="K793" s="1">
        <f t="shared" si="534"/>
        <v>5.7432719773121087E-4</v>
      </c>
    </row>
    <row r="794" spans="2:13" x14ac:dyDescent="0.35">
      <c r="B794" s="5" t="str">
        <f t="shared" si="503"/>
        <v>SPS3</v>
      </c>
      <c r="C794" s="5" t="str">
        <f t="shared" si="531"/>
        <v>CH</v>
      </c>
      <c r="D794" t="s">
        <v>484</v>
      </c>
      <c r="E794" t="s">
        <v>8</v>
      </c>
      <c r="F794" s="1">
        <f>F241</f>
        <v>0</v>
      </c>
      <c r="G794" s="1">
        <f t="shared" ref="G794:K794" si="535">G241</f>
        <v>0</v>
      </c>
      <c r="H794" s="1">
        <f t="shared" si="535"/>
        <v>0</v>
      </c>
      <c r="I794" s="1">
        <f t="shared" si="535"/>
        <v>0</v>
      </c>
      <c r="J794" s="1">
        <f t="shared" si="535"/>
        <v>4.5898859920885979E-4</v>
      </c>
      <c r="K794" s="1">
        <f t="shared" si="535"/>
        <v>5.8790663357989918E-4</v>
      </c>
    </row>
    <row r="795" spans="2:13" x14ac:dyDescent="0.35">
      <c r="B795" s="5" t="str">
        <f t="shared" si="503"/>
        <v>SPS3</v>
      </c>
      <c r="C795" s="5" t="str">
        <f t="shared" si="531"/>
        <v>CH</v>
      </c>
      <c r="D795" t="s">
        <v>485</v>
      </c>
      <c r="E795" t="s">
        <v>8</v>
      </c>
      <c r="F795" s="1">
        <f>F272</f>
        <v>1.9349466133405022</v>
      </c>
      <c r="G795" s="1">
        <f t="shared" ref="G795:K795" si="536">G272</f>
        <v>1.8588123413029469</v>
      </c>
      <c r="H795" s="1">
        <f t="shared" si="536"/>
        <v>2.5503141907149116</v>
      </c>
      <c r="I795" s="1">
        <f t="shared" si="536"/>
        <v>2.2433623366317592</v>
      </c>
      <c r="J795" s="1">
        <f t="shared" si="536"/>
        <v>1.6754555528065163</v>
      </c>
      <c r="K795" s="1">
        <f t="shared" si="536"/>
        <v>2.4792960296826649E-4</v>
      </c>
    </row>
    <row r="796" spans="2:13" x14ac:dyDescent="0.35">
      <c r="B796" s="5" t="str">
        <f t="shared" si="503"/>
        <v>SPS3</v>
      </c>
      <c r="C796" s="5" t="str">
        <f t="shared" si="531"/>
        <v>CH</v>
      </c>
      <c r="D796" t="s">
        <v>486</v>
      </c>
      <c r="E796" t="s">
        <v>8</v>
      </c>
      <c r="F796" s="1">
        <f>F273</f>
        <v>0</v>
      </c>
      <c r="G796" s="1">
        <f t="shared" ref="G796:K796" si="537">G273</f>
        <v>0</v>
      </c>
      <c r="H796" s="1">
        <f t="shared" si="537"/>
        <v>0</v>
      </c>
      <c r="I796" s="1">
        <f t="shared" si="537"/>
        <v>0</v>
      </c>
      <c r="J796" s="1">
        <f t="shared" si="537"/>
        <v>1.3907906280702639E-4</v>
      </c>
      <c r="K796" s="1">
        <f t="shared" si="537"/>
        <v>2.0314103524907026</v>
      </c>
    </row>
    <row r="797" spans="2:13" x14ac:dyDescent="0.35">
      <c r="B797" s="5" t="str">
        <f t="shared" si="503"/>
        <v>SPS3</v>
      </c>
      <c r="C797" s="5" t="str">
        <f t="shared" si="531"/>
        <v>CH</v>
      </c>
      <c r="D797" t="s">
        <v>487</v>
      </c>
      <c r="E797" t="s">
        <v>8</v>
      </c>
      <c r="F797" s="1">
        <f>F281</f>
        <v>0.65964858063183474</v>
      </c>
      <c r="G797" s="1">
        <f t="shared" ref="G797:K797" si="538">G281</f>
        <v>0.57088332156089117</v>
      </c>
      <c r="H797" s="1">
        <f t="shared" si="538"/>
        <v>3.386807427138764</v>
      </c>
      <c r="I797" s="1">
        <f t="shared" si="538"/>
        <v>5.0415085271533826</v>
      </c>
      <c r="J797" s="1">
        <f t="shared" si="538"/>
        <v>5.3577757828729506</v>
      </c>
      <c r="K797" s="1">
        <f t="shared" si="538"/>
        <v>3.4276774699242161</v>
      </c>
    </row>
    <row r="798" spans="2:13" x14ac:dyDescent="0.35">
      <c r="B798" s="5" t="str">
        <f t="shared" si="503"/>
        <v>SPS3</v>
      </c>
      <c r="C798" s="5" t="str">
        <f t="shared" si="531"/>
        <v>CH</v>
      </c>
      <c r="D798" t="s">
        <v>488</v>
      </c>
      <c r="E798" t="s">
        <v>8</v>
      </c>
      <c r="F798" s="1">
        <f>F282</f>
        <v>0</v>
      </c>
      <c r="G798" s="1">
        <f t="shared" ref="G798:K798" si="539">G282</f>
        <v>0</v>
      </c>
      <c r="H798" s="1">
        <f t="shared" si="539"/>
        <v>0</v>
      </c>
      <c r="I798" s="1">
        <f t="shared" si="539"/>
        <v>0</v>
      </c>
      <c r="J798" s="1">
        <f t="shared" si="539"/>
        <v>1.9994671482499464</v>
      </c>
      <c r="K798" s="1">
        <f t="shared" si="539"/>
        <v>4.8436094253237965</v>
      </c>
    </row>
    <row r="799" spans="2:13" x14ac:dyDescent="0.35">
      <c r="B799" s="5" t="str">
        <f t="shared" si="503"/>
        <v>SPS3</v>
      </c>
      <c r="C799" s="5" t="str">
        <f t="shared" si="531"/>
        <v>CH</v>
      </c>
      <c r="D799" t="s">
        <v>489</v>
      </c>
      <c r="E799" t="s">
        <v>8</v>
      </c>
      <c r="F799" s="1">
        <f>F287</f>
        <v>0</v>
      </c>
      <c r="G799" s="1">
        <f t="shared" ref="G799:K799" si="540">G287</f>
        <v>0</v>
      </c>
      <c r="H799" s="1">
        <f t="shared" si="540"/>
        <v>0</v>
      </c>
      <c r="I799" s="1">
        <f t="shared" si="540"/>
        <v>0</v>
      </c>
      <c r="J799" s="1">
        <f t="shared" si="540"/>
        <v>2.8579285188936013E-3</v>
      </c>
      <c r="K799" s="1">
        <f t="shared" si="540"/>
        <v>1.9127627285839968</v>
      </c>
      <c r="M799" s="1"/>
    </row>
    <row r="800" spans="2:13" x14ac:dyDescent="0.35">
      <c r="B800" s="5" t="str">
        <f t="shared" si="503"/>
        <v>SPS3</v>
      </c>
      <c r="C800" s="5" t="str">
        <f t="shared" si="531"/>
        <v>CH</v>
      </c>
      <c r="D800" t="s">
        <v>951</v>
      </c>
      <c r="E800" t="s">
        <v>8</v>
      </c>
      <c r="F800" s="1" cm="1">
        <f t="array" ref="F800">SUMPRODUCT(([1]OUT_FinalEnergyCons!$B$4:$B$10000="Var_Fin")*1, ([1]OUT_FinalEnergyCons!$C$4:$C$10000="ITOT_LTH_DH")*1, (ISNUMBER(SEARCH("ITOT-SWHLTHDH",[1]OUT_FinalEnergyCons!$A$4:$A$10000)))*1,[1]OUT_FinalEnergyCons!D$4:D$10000)</f>
        <v>7.1200232041811784</v>
      </c>
      <c r="G800" s="1" cm="1">
        <f t="array" ref="G800">SUMPRODUCT(([1]OUT_FinalEnergyCons!$B$4:$B$10000="Var_Fin")*1, ([1]OUT_FinalEnergyCons!$C$4:$C$10000="ITOT_LTH_DH")*1, (ISNUMBER(SEARCH("ITOT-SWHLTHDH",[1]OUT_FinalEnergyCons!$A$4:$A$10000)))*1,[1]OUT_FinalEnergyCons!E$4:E$10000)</f>
        <v>7.6289113638024073</v>
      </c>
      <c r="H800" s="1" cm="1">
        <f t="array" ref="H800">SUMPRODUCT(([1]OUT_FinalEnergyCons!$B$4:$B$10000="Var_Fin")*1, ([1]OUT_FinalEnergyCons!$C$4:$C$10000="ITOT_LTH_DH")*1, (ISNUMBER(SEARCH("ITOT-SWHLTHDH",[1]OUT_FinalEnergyCons!$A$4:$A$10000)))*1,[1]OUT_FinalEnergyCons!F$4:F$10000)</f>
        <v>7.3518867322310006</v>
      </c>
      <c r="I800" s="1" cm="1">
        <f t="array" ref="I800">SUMPRODUCT(([1]OUT_FinalEnergyCons!$B$4:$B$10000="Var_Fin")*1, ([1]OUT_FinalEnergyCons!$C$4:$C$10000="ITOT_LTH_DH")*1, (ISNUMBER(SEARCH("ITOT-SWHLTHDH",[1]OUT_FinalEnergyCons!$A$4:$A$10000)))*1,[1]OUT_FinalEnergyCons!G$4:G$10000)</f>
        <v>6.4723824317686649</v>
      </c>
      <c r="J800" s="1" cm="1">
        <f t="array" ref="J800">SUMPRODUCT(([1]OUT_FinalEnergyCons!$B$4:$B$10000="Var_Fin")*1, ([1]OUT_FinalEnergyCons!$C$4:$C$10000="ITOT_LTH_DH")*1, (ISNUMBER(SEARCH("ITOT-SWHLTHDH",[1]OUT_FinalEnergyCons!$A$4:$A$10000)))*1,[1]OUT_FinalEnergyCons!H$4:H$10000)</f>
        <v>5.8775019330339218</v>
      </c>
      <c r="K800" s="1" cm="1">
        <f t="array" ref="K800">SUMPRODUCT(([1]OUT_FinalEnergyCons!$B$4:$B$10000="Var_Fin")*1, ([1]OUT_FinalEnergyCons!$C$4:$C$10000="ITOT_LTH_DH")*1, (ISNUMBER(SEARCH("ITOT-SWHLTHDH",[1]OUT_FinalEnergyCons!$A$4:$A$10000)))*1,[1]OUT_FinalEnergyCons!I$4:I$10000)</f>
        <v>4.708497481698303</v>
      </c>
    </row>
    <row r="801" spans="2:11" x14ac:dyDescent="0.35">
      <c r="B801" s="5" t="str">
        <f t="shared" si="503"/>
        <v>SPS3</v>
      </c>
      <c r="C801" s="5" t="str">
        <f t="shared" si="531"/>
        <v>CH</v>
      </c>
      <c r="D801" t="s">
        <v>952</v>
      </c>
      <c r="E801" t="s">
        <v>8</v>
      </c>
      <c r="F801" s="1">
        <f>F802</f>
        <v>9.0019839277402376</v>
      </c>
      <c r="G801" s="1">
        <f t="shared" ref="G801:K801" si="541">G802</f>
        <v>10.609984899318739</v>
      </c>
      <c r="H801" s="1">
        <f t="shared" si="541"/>
        <v>9.7940525837842927</v>
      </c>
      <c r="I801" s="1">
        <f t="shared" si="541"/>
        <v>9.9385269607394413</v>
      </c>
      <c r="J801" s="1">
        <f t="shared" si="541"/>
        <v>5.8095910670254565</v>
      </c>
      <c r="K801" s="1">
        <f t="shared" si="541"/>
        <v>2.6907577235439854E-3</v>
      </c>
    </row>
    <row r="802" spans="2:11" x14ac:dyDescent="0.35">
      <c r="B802" s="5" t="str">
        <f t="shared" si="503"/>
        <v>SPS3</v>
      </c>
      <c r="C802" s="5" t="str">
        <f t="shared" si="531"/>
        <v>CH</v>
      </c>
      <c r="D802" t="s">
        <v>953</v>
      </c>
      <c r="E802" t="s">
        <v>8</v>
      </c>
      <c r="F802" s="1" cm="1">
        <f t="array" ref="F802">SUMPRODUCT(([1]OUT_FinalEnergyCons!$B$4:$B$10000="Var_Fin")*1, ([1]OUT_FinalEnergyCons!$C$4:$C$10000="iWOD")*1, (ISNUMBER(SEARCH("ITOT-SWHWOD*BR",[1]OUT_FinalEnergyCons!$A$4:$A$10000)))*1,[1]OUT_FinalEnergyCons!D$4:D$10000)</f>
        <v>9.0019839277402376</v>
      </c>
      <c r="G802" s="1" cm="1">
        <f t="array" ref="G802">SUMPRODUCT(([1]OUT_FinalEnergyCons!$B$4:$B$10000="Var_Fin")*1, ([1]OUT_FinalEnergyCons!$C$4:$C$10000="iWOD")*1, (ISNUMBER(SEARCH("ITOT-SWHWOD*BR",[1]OUT_FinalEnergyCons!$A$4:$A$10000)))*1,[1]OUT_FinalEnergyCons!E$4:E$10000)</f>
        <v>10.609984899318739</v>
      </c>
      <c r="H802" s="1" cm="1">
        <f t="array" ref="H802">SUMPRODUCT(([1]OUT_FinalEnergyCons!$B$4:$B$10000="Var_Fin")*1, ([1]OUT_FinalEnergyCons!$C$4:$C$10000="iWOD")*1, (ISNUMBER(SEARCH("ITOT-SWHWOD*BR",[1]OUT_FinalEnergyCons!$A$4:$A$10000)))*1,[1]OUT_FinalEnergyCons!F$4:F$10000)</f>
        <v>9.7940525837842927</v>
      </c>
      <c r="I802" s="1" cm="1">
        <f t="array" ref="I802">SUMPRODUCT(([1]OUT_FinalEnergyCons!$B$4:$B$10000="Var_Fin")*1, ([1]OUT_FinalEnergyCons!$C$4:$C$10000="iWOD")*1, (ISNUMBER(SEARCH("ITOT-SWHWOD*BR",[1]OUT_FinalEnergyCons!$A$4:$A$10000)))*1,[1]OUT_FinalEnergyCons!G$4:G$10000)</f>
        <v>9.9385269607394413</v>
      </c>
      <c r="J802" s="1" cm="1">
        <f t="array" ref="J802">SUMPRODUCT(([1]OUT_FinalEnergyCons!$B$4:$B$10000="Var_Fin")*1, ([1]OUT_FinalEnergyCons!$C$4:$C$10000="iWOD")*1, (ISNUMBER(SEARCH("ITOT-SWHWOD*BR",[1]OUT_FinalEnergyCons!$A$4:$A$10000)))*1,[1]OUT_FinalEnergyCons!H$4:H$10000)</f>
        <v>5.8095910670254565</v>
      </c>
      <c r="K802" s="1" cm="1">
        <f t="array" ref="K802">SUMPRODUCT(([1]OUT_FinalEnergyCons!$B$4:$B$10000="Var_Fin")*1, ([1]OUT_FinalEnergyCons!$C$4:$C$10000="iWOD")*1, (ISNUMBER(SEARCH("ITOT-SWHWOD*BR",[1]OUT_FinalEnergyCons!$A$4:$A$10000)))*1,[1]OUT_FinalEnergyCons!I$4:I$10000)</f>
        <v>2.6907577235439854E-3</v>
      </c>
    </row>
    <row r="803" spans="2:11" x14ac:dyDescent="0.35">
      <c r="B803" s="5" t="str">
        <f t="shared" si="503"/>
        <v>SPS3</v>
      </c>
      <c r="C803" s="5" t="str">
        <f t="shared" si="531"/>
        <v>CH</v>
      </c>
      <c r="D803" t="s">
        <v>954</v>
      </c>
      <c r="E803" t="s">
        <v>8</v>
      </c>
      <c r="F803" s="1">
        <f>F804</f>
        <v>0.62581918435258088</v>
      </c>
      <c r="G803" s="1">
        <f t="shared" ref="G803:K803" si="542">G804</f>
        <v>0.73758528935951095</v>
      </c>
      <c r="H803" s="1">
        <f t="shared" si="542"/>
        <v>0.73637758436969825</v>
      </c>
      <c r="I803" s="1">
        <f t="shared" si="542"/>
        <v>0.73430973761867646</v>
      </c>
      <c r="J803" s="1">
        <f t="shared" si="542"/>
        <v>4.0915414152718812</v>
      </c>
      <c r="K803" s="1">
        <f t="shared" si="542"/>
        <v>5.5365287423025489</v>
      </c>
    </row>
    <row r="804" spans="2:11" x14ac:dyDescent="0.35">
      <c r="B804" s="5" t="str">
        <f t="shared" si="503"/>
        <v>SPS3</v>
      </c>
      <c r="C804" s="5" t="str">
        <f t="shared" si="531"/>
        <v>CH</v>
      </c>
      <c r="D804" t="s">
        <v>955</v>
      </c>
      <c r="E804" t="s">
        <v>8</v>
      </c>
      <c r="F804" s="1" cm="1">
        <f t="array" ref="F804">SUMPRODUCT(([1]OUT_FinalEnergyCons!$B$4:$B$10000="Var_Fin")*1, ([1]OUT_FinalEnergyCons!$C$4:$C$10000="IPLT")*1, (ISNUMBER(SEARCH("ITOT-SWHPLT*BR",[1]OUT_FinalEnergyCons!$A$4:$A$10000)))*1,[1]OUT_FinalEnergyCons!D$4:D$10000)</f>
        <v>0.62581918435258088</v>
      </c>
      <c r="G804" s="1" cm="1">
        <f t="array" ref="G804">SUMPRODUCT(([1]OUT_FinalEnergyCons!$B$4:$B$10000="Var_Fin")*1, ([1]OUT_FinalEnergyCons!$C$4:$C$10000="IPLT")*1, (ISNUMBER(SEARCH("ITOT-SWHPLT*BR",[1]OUT_FinalEnergyCons!$A$4:$A$10000)))*1,[1]OUT_FinalEnergyCons!E$4:E$10000)</f>
        <v>0.73758528935951095</v>
      </c>
      <c r="H804" s="1" cm="1">
        <f t="array" ref="H804">SUMPRODUCT(([1]OUT_FinalEnergyCons!$B$4:$B$10000="Var_Fin")*1, ([1]OUT_FinalEnergyCons!$C$4:$C$10000="IPLT")*1, (ISNUMBER(SEARCH("ITOT-SWHPLT*BR",[1]OUT_FinalEnergyCons!$A$4:$A$10000)))*1,[1]OUT_FinalEnergyCons!F$4:F$10000)</f>
        <v>0.73637758436969825</v>
      </c>
      <c r="I804" s="1" cm="1">
        <f t="array" ref="I804">SUMPRODUCT(([1]OUT_FinalEnergyCons!$B$4:$B$10000="Var_Fin")*1, ([1]OUT_FinalEnergyCons!$C$4:$C$10000="IPLT")*1, (ISNUMBER(SEARCH("ITOT-SWHPLT*BR",[1]OUT_FinalEnergyCons!$A$4:$A$10000)))*1,[1]OUT_FinalEnergyCons!G$4:G$10000)</f>
        <v>0.73430973761867646</v>
      </c>
      <c r="J804" s="1" cm="1">
        <f t="array" ref="J804">SUMPRODUCT(([1]OUT_FinalEnergyCons!$B$4:$B$10000="Var_Fin")*1, ([1]OUT_FinalEnergyCons!$C$4:$C$10000="IPLT")*1, (ISNUMBER(SEARCH("ITOT-SWHPLT*BR",[1]OUT_FinalEnergyCons!$A$4:$A$10000)))*1,[1]OUT_FinalEnergyCons!H$4:H$10000)</f>
        <v>4.0915414152718812</v>
      </c>
      <c r="K804" s="1" cm="1">
        <f t="array" ref="K804">SUMPRODUCT(([1]OUT_FinalEnergyCons!$B$4:$B$10000="Var_Fin")*1, ([1]OUT_FinalEnergyCons!$C$4:$C$10000="IPLT")*1, (ISNUMBER(SEARCH("ITOT-SWHPLT*BR",[1]OUT_FinalEnergyCons!$A$4:$A$10000)))*1,[1]OUT_FinalEnergyCons!I$4:I$10000)</f>
        <v>5.5365287423025489</v>
      </c>
    </row>
    <row r="805" spans="2:11" x14ac:dyDescent="0.35">
      <c r="B805" s="5" t="str">
        <f t="shared" si="503"/>
        <v>SPS3</v>
      </c>
      <c r="C805" s="5" t="str">
        <f t="shared" si="531"/>
        <v>CH</v>
      </c>
      <c r="D805" t="s">
        <v>492</v>
      </c>
      <c r="E805" t="s">
        <v>8</v>
      </c>
      <c r="F805" s="1">
        <f>[1]Industry!B$21</f>
        <v>7.7980838034548032</v>
      </c>
      <c r="G805" s="1">
        <f>[1]Industry!C$21</f>
        <v>8.0802269955565205</v>
      </c>
      <c r="H805" s="1">
        <f>[1]Industry!D$21</f>
        <v>5.6084369231319844</v>
      </c>
      <c r="I805" s="1">
        <f>[1]Industry!E$21</f>
        <v>5.5458112110638282</v>
      </c>
      <c r="J805" s="1">
        <f>[1]Industry!F$21</f>
        <v>5.5100699714478365</v>
      </c>
      <c r="K805" s="1">
        <f>[1]Industry!G$21</f>
        <v>6.3880622783927664E-5</v>
      </c>
    </row>
    <row r="806" spans="2:11" x14ac:dyDescent="0.35">
      <c r="B806" s="5" t="str">
        <f t="shared" si="503"/>
        <v>SPS3</v>
      </c>
      <c r="C806" s="5" t="str">
        <f t="shared" si="531"/>
        <v>CH</v>
      </c>
      <c r="D806" t="s">
        <v>495</v>
      </c>
      <c r="E806" t="s">
        <v>8</v>
      </c>
      <c r="F806" s="1">
        <f>F805</f>
        <v>7.7980838034548032</v>
      </c>
      <c r="G806" s="1">
        <f t="shared" ref="G806:K806" si="543">G805</f>
        <v>8.0802269955565205</v>
      </c>
      <c r="H806" s="1">
        <f t="shared" si="543"/>
        <v>5.6084369231319844</v>
      </c>
      <c r="I806" s="1">
        <f t="shared" si="543"/>
        <v>5.5458112110638282</v>
      </c>
      <c r="J806" s="1">
        <f t="shared" si="543"/>
        <v>5.5100699714478365</v>
      </c>
      <c r="K806" s="1">
        <f t="shared" si="543"/>
        <v>6.3880622783927664E-5</v>
      </c>
    </row>
    <row r="807" spans="2:11" x14ac:dyDescent="0.35">
      <c r="B807" s="5" t="str">
        <f t="shared" si="503"/>
        <v>SPS3</v>
      </c>
      <c r="C807" s="5" t="str">
        <f t="shared" si="531"/>
        <v>CH</v>
      </c>
      <c r="D807" t="s">
        <v>493</v>
      </c>
      <c r="E807" t="s">
        <v>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2:11" x14ac:dyDescent="0.35">
      <c r="B808" s="5" t="str">
        <f t="shared" si="503"/>
        <v>SPS3</v>
      </c>
      <c r="C808" s="5" t="str">
        <f t="shared" si="531"/>
        <v>CH</v>
      </c>
      <c r="D808" t="s">
        <v>494</v>
      </c>
      <c r="E808" t="s">
        <v>8</v>
      </c>
      <c r="F808" s="1">
        <f>F806</f>
        <v>7.7980838034548032</v>
      </c>
      <c r="G808" s="1">
        <f t="shared" ref="G808:K808" si="544">G806</f>
        <v>8.0802269955565205</v>
      </c>
      <c r="H808" s="1">
        <f t="shared" si="544"/>
        <v>5.6084369231319844</v>
      </c>
      <c r="I808" s="1">
        <f t="shared" si="544"/>
        <v>5.5458112110638282</v>
      </c>
      <c r="J808" s="1">
        <f t="shared" si="544"/>
        <v>5.5100699714478365</v>
      </c>
      <c r="K808" s="1">
        <f t="shared" si="544"/>
        <v>6.3880622783927664E-5</v>
      </c>
    </row>
    <row r="809" spans="2:11" x14ac:dyDescent="0.35">
      <c r="B809" s="5" t="str">
        <f t="shared" si="503"/>
        <v>SPS3</v>
      </c>
      <c r="C809" s="5" t="str">
        <f t="shared" ref="C809:C810" si="545">C808</f>
        <v>CH</v>
      </c>
      <c r="D809" t="s">
        <v>956</v>
      </c>
      <c r="E809" t="s">
        <v>8</v>
      </c>
      <c r="F809" s="1">
        <f>[1]Industry!B$22</f>
        <v>6.7733905891750074E-2</v>
      </c>
      <c r="G809" s="1">
        <f>[1]Industry!C$22</f>
        <v>8.5512491860011752E-2</v>
      </c>
      <c r="H809" s="1">
        <f>[1]Industry!D$22</f>
        <v>8.6919081944357685E-2</v>
      </c>
      <c r="I809" s="1">
        <f>[1]Industry!E$22</f>
        <v>2.3297828556720694</v>
      </c>
      <c r="J809" s="1">
        <f>[1]Industry!F$22</f>
        <v>2.3466738001341261</v>
      </c>
      <c r="K809" s="1">
        <f>[1]Industry!G$22</f>
        <v>2.3649467320251465</v>
      </c>
    </row>
    <row r="810" spans="2:11" x14ac:dyDescent="0.35">
      <c r="B810" s="5" t="str">
        <f t="shared" si="503"/>
        <v>SPS3</v>
      </c>
      <c r="C810" s="5" t="str">
        <f t="shared" si="545"/>
        <v>CH</v>
      </c>
      <c r="D810" t="s">
        <v>957</v>
      </c>
      <c r="E810" t="s">
        <v>8</v>
      </c>
      <c r="F810" s="1">
        <f>F809</f>
        <v>6.7733905891750074E-2</v>
      </c>
      <c r="G810" s="1">
        <f t="shared" ref="G810:K810" si="546">G809</f>
        <v>8.5512491860011752E-2</v>
      </c>
      <c r="H810" s="1">
        <f t="shared" si="546"/>
        <v>8.6919081944357685E-2</v>
      </c>
      <c r="I810" s="1">
        <f t="shared" si="546"/>
        <v>2.3297828556720694</v>
      </c>
      <c r="J810" s="1">
        <f t="shared" si="546"/>
        <v>2.3466738001341261</v>
      </c>
      <c r="K810" s="1">
        <f t="shared" si="546"/>
        <v>2.3649467320251465</v>
      </c>
    </row>
    <row r="811" spans="2:11" x14ac:dyDescent="0.35">
      <c r="B811" s="5" t="str">
        <f t="shared" si="503"/>
        <v>SPS3</v>
      </c>
      <c r="C811" s="5" t="str">
        <f t="shared" ref="C811:C812" si="547">C810</f>
        <v>CH</v>
      </c>
      <c r="D811" t="s">
        <v>958</v>
      </c>
      <c r="E811" t="s">
        <v>8</v>
      </c>
      <c r="F811" s="1">
        <f>[1]Industry!B$23</f>
        <v>0</v>
      </c>
      <c r="G811" s="1">
        <f>[1]Industry!C$23</f>
        <v>0</v>
      </c>
      <c r="H811" s="1">
        <f>[1]Industry!D$23</f>
        <v>0</v>
      </c>
      <c r="I811" s="1">
        <f>[1]Industry!E$23</f>
        <v>0</v>
      </c>
      <c r="J811" s="1">
        <f>[1]Industry!F$23</f>
        <v>1.9094833568839322</v>
      </c>
      <c r="K811" s="1">
        <f>[1]Industry!G$23</f>
        <v>3.4488032210741442</v>
      </c>
    </row>
    <row r="812" spans="2:11" x14ac:dyDescent="0.35">
      <c r="B812" s="5" t="str">
        <f t="shared" si="503"/>
        <v>SPS3</v>
      </c>
      <c r="C812" s="5" t="str">
        <f t="shared" si="547"/>
        <v>CH</v>
      </c>
      <c r="D812" t="s">
        <v>959</v>
      </c>
      <c r="E812" t="s">
        <v>8</v>
      </c>
      <c r="F812" s="1">
        <f>F811</f>
        <v>0</v>
      </c>
      <c r="G812" s="1">
        <f t="shared" ref="G812:K812" si="548">G811</f>
        <v>0</v>
      </c>
      <c r="H812" s="1">
        <f t="shared" si="548"/>
        <v>0</v>
      </c>
      <c r="I812" s="1">
        <f t="shared" si="548"/>
        <v>0</v>
      </c>
      <c r="J812" s="1">
        <f t="shared" si="548"/>
        <v>1.9094833568839322</v>
      </c>
      <c r="K812" s="1">
        <f t="shared" si="548"/>
        <v>3.4488032210741442</v>
      </c>
    </row>
    <row r="813" spans="2:11" x14ac:dyDescent="0.35">
      <c r="B813" s="5" t="str">
        <f t="shared" si="503"/>
        <v>SPS3</v>
      </c>
      <c r="C813" s="5" t="str">
        <f t="shared" ref="C813:C814" si="549">C812</f>
        <v>CH</v>
      </c>
      <c r="D813" t="s">
        <v>960</v>
      </c>
      <c r="E813" t="s">
        <v>8</v>
      </c>
      <c r="F813" s="1">
        <f>[1]Industry!B$24</f>
        <v>0.74855646126830888</v>
      </c>
      <c r="G813" s="1">
        <f>[1]Industry!C$24</f>
        <v>0.94975950661523145</v>
      </c>
      <c r="H813" s="1">
        <f>[1]Industry!D$24</f>
        <v>1.1739432221588626</v>
      </c>
      <c r="I813" s="1">
        <f>[1]Industry!E$24</f>
        <v>2.4619002251127622</v>
      </c>
      <c r="J813" s="1">
        <f>[1]Industry!F$24</f>
        <v>5.4817569506188235</v>
      </c>
      <c r="K813" s="1">
        <f>[1]Industry!G$24</f>
        <v>5.5656480312363836</v>
      </c>
    </row>
    <row r="814" spans="2:11" x14ac:dyDescent="0.35">
      <c r="B814" s="5" t="str">
        <f t="shared" si="503"/>
        <v>SPS3</v>
      </c>
      <c r="C814" s="5" t="str">
        <f t="shared" si="549"/>
        <v>CH</v>
      </c>
      <c r="D814" t="s">
        <v>961</v>
      </c>
      <c r="E814" t="s">
        <v>8</v>
      </c>
      <c r="F814" s="1" cm="1">
        <f t="array" ref="F814">SUMPRODUCT(([1]OUT_FinalEnergyCons!$B$4:$B$10000="Var_FOut")*1, ([1]OUT_FinalEnergyCons!$C$4:$C$10000="ITOT-SWHAelch")*1, (ISNUMBER(SEARCH("ITOT-SWHELCHP",[1]OUT_FinalEnergyCons!$A$4:$A$10000)))*1,[1]OUT_FinalEnergyCons!D$4:D$10000)-F764</f>
        <v>0.74855646126830888</v>
      </c>
      <c r="G814" s="1" cm="1">
        <f t="array" ref="G814">SUMPRODUCT(([1]OUT_FinalEnergyCons!$B$4:$B$10000="Var_FOut")*1, ([1]OUT_FinalEnergyCons!$C$4:$C$10000="ITOT-SWHAelch")*1, (ISNUMBER(SEARCH("ITOT-SWHELCHP",[1]OUT_FinalEnergyCons!$A$4:$A$10000)))*1,[1]OUT_FinalEnergyCons!E$4:E$10000)-G764</f>
        <v>0.94975950661523145</v>
      </c>
      <c r="H814" s="1" cm="1">
        <f t="array" ref="H814">SUMPRODUCT(([1]OUT_FinalEnergyCons!$B$4:$B$10000="Var_FOut")*1, ([1]OUT_FinalEnergyCons!$C$4:$C$10000="ITOT-SWHAelch")*1, (ISNUMBER(SEARCH("ITOT-SWHELCHP",[1]OUT_FinalEnergyCons!$A$4:$A$10000)))*1,[1]OUT_FinalEnergyCons!F$4:F$10000)-H764</f>
        <v>1.1739432221588626</v>
      </c>
      <c r="I814" s="1" cm="1">
        <f t="array" ref="I814">SUMPRODUCT(([1]OUT_FinalEnergyCons!$B$4:$B$10000="Var_FOut")*1, ([1]OUT_FinalEnergyCons!$C$4:$C$10000="ITOT-SWHAelch")*1, (ISNUMBER(SEARCH("ITOT-SWHELCHP",[1]OUT_FinalEnergyCons!$A$4:$A$10000)))*1,[1]OUT_FinalEnergyCons!G$4:G$10000)-I764</f>
        <v>2.4619002251127622</v>
      </c>
      <c r="J814" s="1" cm="1">
        <f t="array" ref="J814">SUMPRODUCT(([1]OUT_FinalEnergyCons!$B$4:$B$10000="Var_FOut")*1, ([1]OUT_FinalEnergyCons!$C$4:$C$10000="ITOT-SWHAelch")*1, (ISNUMBER(SEARCH("ITOT-SWHELCHP",[1]OUT_FinalEnergyCons!$A$4:$A$10000)))*1,[1]OUT_FinalEnergyCons!H$4:H$10000)-J764</f>
        <v>5.4810299359444157</v>
      </c>
      <c r="K814" s="1" cm="1">
        <f t="array" ref="K814">SUMPRODUCT(([1]OUT_FinalEnergyCons!$B$4:$B$10000="Var_FOut")*1, ([1]OUT_FinalEnergyCons!$C$4:$C$10000="ITOT-SWHAelch")*1, (ISNUMBER(SEARCH("ITOT-SWHELCHP",[1]OUT_FinalEnergyCons!$A$4:$A$10000)))*1,[1]OUT_FinalEnergyCons!I$4:I$10000)-K764</f>
        <v>5.564895256910062</v>
      </c>
    </row>
    <row r="815" spans="2:11" x14ac:dyDescent="0.35">
      <c r="B815" s="5" t="str">
        <f t="shared" si="503"/>
        <v>SPS3</v>
      </c>
      <c r="C815" s="5" t="str">
        <f t="shared" ref="C815:C823" si="550">C814</f>
        <v>CH</v>
      </c>
      <c r="D815" t="s">
        <v>962</v>
      </c>
      <c r="E815" t="s">
        <v>8</v>
      </c>
      <c r="F815" s="1">
        <f>F813-F814</f>
        <v>0</v>
      </c>
      <c r="G815" s="1">
        <f t="shared" ref="G815:K815" si="551">G813-G814</f>
        <v>0</v>
      </c>
      <c r="H815" s="1">
        <f t="shared" si="551"/>
        <v>0</v>
      </c>
      <c r="I815" s="1">
        <f t="shared" si="551"/>
        <v>0</v>
      </c>
      <c r="J815" s="1">
        <f t="shared" si="551"/>
        <v>7.2701467440783318E-4</v>
      </c>
      <c r="K815" s="1">
        <f t="shared" si="551"/>
        <v>7.5277432632159247E-4</v>
      </c>
    </row>
    <row r="816" spans="2:11" x14ac:dyDescent="0.35">
      <c r="B816" s="9" t="str">
        <f t="shared" si="503"/>
        <v>SPS3</v>
      </c>
      <c r="C816" s="9" t="str">
        <f t="shared" si="550"/>
        <v>CH</v>
      </c>
      <c r="D816" s="2" t="s">
        <v>684</v>
      </c>
      <c r="E816" s="9" t="s">
        <v>8</v>
      </c>
      <c r="F816" s="17">
        <f>[1]Industry!B$71</f>
        <v>72.708810758265969</v>
      </c>
      <c r="G816" s="17">
        <f>[1]Industry!C$71</f>
        <v>74.353310244129702</v>
      </c>
      <c r="H816" s="17">
        <f>[1]Industry!D$71</f>
        <v>75.714721378310912</v>
      </c>
      <c r="I816" s="17">
        <f>[1]Industry!E$71</f>
        <v>76.67970375152774</v>
      </c>
      <c r="J816" s="17">
        <f>[1]Industry!F$71</f>
        <v>77.236305183023575</v>
      </c>
      <c r="K816" s="17">
        <f>[1]Industry!G$71</f>
        <v>78.062076101582605</v>
      </c>
    </row>
    <row r="817" spans="2:13" x14ac:dyDescent="0.35">
      <c r="B817" s="5" t="str">
        <f t="shared" si="503"/>
        <v>SPS3</v>
      </c>
      <c r="C817" s="5" t="str">
        <f t="shared" si="550"/>
        <v>CH</v>
      </c>
      <c r="D817" t="s">
        <v>2032</v>
      </c>
      <c r="E817" t="s">
        <v>8</v>
      </c>
      <c r="F817" s="18">
        <f>SUM(F818:F820)</f>
        <v>58.985615984042603</v>
      </c>
      <c r="G817" s="18">
        <f t="shared" ref="G817:K817" si="552">SUM(G818:G820)</f>
        <v>61.602314646228713</v>
      </c>
      <c r="H817" s="18">
        <f t="shared" si="552"/>
        <v>63.340881113907642</v>
      </c>
      <c r="I817" s="18">
        <f t="shared" si="552"/>
        <v>63.4360305251531</v>
      </c>
      <c r="J817" s="18">
        <f t="shared" si="552"/>
        <v>67.607233893510255</v>
      </c>
      <c r="K817" s="18">
        <f t="shared" si="552"/>
        <v>67.444612807966166</v>
      </c>
    </row>
    <row r="818" spans="2:13" x14ac:dyDescent="0.35">
      <c r="B818" s="5" t="str">
        <f t="shared" si="503"/>
        <v>SPS3</v>
      </c>
      <c r="C818" s="5" t="str">
        <f t="shared" si="550"/>
        <v>CH</v>
      </c>
      <c r="D818" t="s">
        <v>2033</v>
      </c>
      <c r="E818" t="s">
        <v>8</v>
      </c>
      <c r="F818" s="1">
        <f>[1]Industry!B$55</f>
        <v>9.8139484684033409</v>
      </c>
      <c r="G818" s="1">
        <f>[1]Industry!C$55</f>
        <v>10.335097277068554</v>
      </c>
      <c r="H818" s="1">
        <f>[1]Industry!D$55</f>
        <v>10.33508567887772</v>
      </c>
      <c r="I818" s="1">
        <f>[1]Industry!E$55</f>
        <v>10.335087010165942</v>
      </c>
      <c r="J818" s="1">
        <f>[1]Industry!F$55</f>
        <v>10.335082862178284</v>
      </c>
      <c r="K818" s="1">
        <f>[1]Industry!G$55</f>
        <v>10.335078867270193</v>
      </c>
      <c r="L818" s="1"/>
      <c r="M818" s="1"/>
    </row>
    <row r="819" spans="2:13" x14ac:dyDescent="0.35">
      <c r="B819" s="5" t="str">
        <f t="shared" si="503"/>
        <v>SPS3</v>
      </c>
      <c r="C819" s="5" t="str">
        <f t="shared" si="550"/>
        <v>CH</v>
      </c>
      <c r="D819" t="s">
        <v>2034</v>
      </c>
      <c r="E819" t="s">
        <v>8</v>
      </c>
      <c r="F819" s="1">
        <f>[1]Industry!B$56</f>
        <v>1.1082698634682644</v>
      </c>
      <c r="G819" s="1">
        <f>[1]Industry!C$56</f>
        <v>1.4008364961281004</v>
      </c>
      <c r="H819" s="1">
        <f>[1]Industry!D$56</f>
        <v>1.7219070883657117</v>
      </c>
      <c r="I819" s="1">
        <f>[1]Industry!E$56</f>
        <v>3.5790331194430296</v>
      </c>
      <c r="J819" s="1">
        <f>[1]Industry!F$56</f>
        <v>7.8368884187357644</v>
      </c>
      <c r="K819" s="1">
        <f>[1]Industry!G$56</f>
        <v>7.8368934866095081</v>
      </c>
    </row>
    <row r="820" spans="2:13" x14ac:dyDescent="0.35">
      <c r="B820" s="5" t="str">
        <f t="shared" ref="B820:B883" si="553">B819</f>
        <v>SPS3</v>
      </c>
      <c r="C820" s="5" t="str">
        <f t="shared" si="550"/>
        <v>CH</v>
      </c>
      <c r="D820" t="s">
        <v>2035</v>
      </c>
      <c r="E820" t="s">
        <v>8</v>
      </c>
      <c r="F820" s="1">
        <f>[1]Industry!B$3-([1]Industry!B$6-[1]Industry!B$70)</f>
        <v>48.063397652170998</v>
      </c>
      <c r="G820" s="1">
        <f>[1]Industry!C$3-([1]Industry!C$6-[1]Industry!C$70)</f>
        <v>49.866380873032057</v>
      </c>
      <c r="H820" s="1">
        <f>[1]Industry!D$3-([1]Industry!D$6-[1]Industry!D$70)</f>
        <v>51.283888346664213</v>
      </c>
      <c r="I820" s="1">
        <f>[1]Industry!E$3-([1]Industry!E$6-[1]Industry!E$70)</f>
        <v>49.521910395544133</v>
      </c>
      <c r="J820" s="1">
        <f>[1]Industry!F$3-([1]Industry!F$6-[1]Industry!F$70)</f>
        <v>49.435262612596212</v>
      </c>
      <c r="K820" s="1">
        <f>[1]Industry!G$3-([1]Industry!G$6-[1]Industry!G$70)</f>
        <v>49.272640454086456</v>
      </c>
    </row>
    <row r="821" spans="2:13" x14ac:dyDescent="0.35">
      <c r="B821" s="5" t="str">
        <f t="shared" si="553"/>
        <v>SPS3</v>
      </c>
      <c r="C821" s="5" t="str">
        <f t="shared" si="550"/>
        <v>CH</v>
      </c>
      <c r="D821" t="s">
        <v>2036</v>
      </c>
      <c r="E821" t="s">
        <v>8</v>
      </c>
      <c r="F821" s="1">
        <f>SUM(F822:F823)</f>
        <v>8.7636084833726464</v>
      </c>
      <c r="G821" s="1">
        <f t="shared" ref="G821:K821" si="554">SUM(G822:G823)</f>
        <v>8.1576206160699787</v>
      </c>
      <c r="H821" s="1">
        <f t="shared" si="554"/>
        <v>6.2162335145754994</v>
      </c>
      <c r="I821" s="1">
        <f t="shared" si="554"/>
        <v>4.6330658199310717</v>
      </c>
      <c r="J821" s="1">
        <f t="shared" si="554"/>
        <v>2.0157724307441804</v>
      </c>
      <c r="K821" s="1">
        <f t="shared" si="554"/>
        <v>0.12941858330574157</v>
      </c>
    </row>
    <row r="822" spans="2:13" x14ac:dyDescent="0.35">
      <c r="B822" s="5" t="str">
        <f t="shared" si="553"/>
        <v>SPS3</v>
      </c>
      <c r="C822" s="5" t="str">
        <f t="shared" si="550"/>
        <v>CH</v>
      </c>
      <c r="D822" t="s">
        <v>2037</v>
      </c>
      <c r="E822" t="s">
        <v>8</v>
      </c>
      <c r="F822" s="1">
        <f>[1]Industry!B$57</f>
        <v>6.9177641519367192</v>
      </c>
      <c r="G822" s="1">
        <f>[1]Industry!C$57</f>
        <v>6.3117824523768373</v>
      </c>
      <c r="H822" s="1">
        <f>[1]Industry!D$57</f>
        <v>6.2112846985234782</v>
      </c>
      <c r="I822" s="1">
        <f>[1]Industry!E$57</f>
        <v>4.6329601972967112</v>
      </c>
      <c r="J822" s="1">
        <f>[1]Industry!F$57</f>
        <v>2.0156657298517171</v>
      </c>
      <c r="K822" s="1">
        <f>[1]Industry!G$57</f>
        <v>0.12941858330574157</v>
      </c>
    </row>
    <row r="823" spans="2:13" x14ac:dyDescent="0.35">
      <c r="B823" s="5" t="str">
        <f t="shared" si="553"/>
        <v>SPS3</v>
      </c>
      <c r="C823" s="5" t="str">
        <f t="shared" si="550"/>
        <v>CH</v>
      </c>
      <c r="D823" t="s">
        <v>2038</v>
      </c>
      <c r="E823" t="s">
        <v>8</v>
      </c>
      <c r="F823" s="1">
        <f>[1]Industry!B$58</f>
        <v>1.845844331435927</v>
      </c>
      <c r="G823" s="1">
        <f>[1]Industry!C$58</f>
        <v>1.8458381636931414</v>
      </c>
      <c r="H823" s="1">
        <f>[1]Industry!D$58</f>
        <v>4.9488160520208147E-3</v>
      </c>
      <c r="I823" s="1">
        <f>[1]Industry!E$58</f>
        <v>1.0562263436053422E-4</v>
      </c>
      <c r="J823" s="1">
        <f>[1]Industry!F$58</f>
        <v>1.0670089246345823E-4</v>
      </c>
      <c r="K823" s="1">
        <f>[1]Industry!G$58</f>
        <v>0</v>
      </c>
    </row>
    <row r="824" spans="2:13" x14ac:dyDescent="0.35">
      <c r="B824" s="5" t="str">
        <f t="shared" si="553"/>
        <v>SPS3</v>
      </c>
      <c r="C824" s="5" t="str">
        <f>C823</f>
        <v>CH</v>
      </c>
      <c r="D824" t="s">
        <v>2039</v>
      </c>
      <c r="E824" t="s">
        <v>8</v>
      </c>
      <c r="F824" s="1">
        <f>SUM(F825:F827)</f>
        <v>28.930335742119272</v>
      </c>
      <c r="G824" s="1">
        <f t="shared" ref="G824:K824" si="555">SUM(G825:G827)</f>
        <v>24.309698993146409</v>
      </c>
      <c r="H824" s="1">
        <f t="shared" si="555"/>
        <v>30.598273134707686</v>
      </c>
      <c r="I824" s="1">
        <f t="shared" si="555"/>
        <v>22.126545894068148</v>
      </c>
      <c r="J824" s="1">
        <f t="shared" si="555"/>
        <v>8.1184958184916027</v>
      </c>
      <c r="K824" s="1">
        <f t="shared" si="555"/>
        <v>3.5991170805309052</v>
      </c>
    </row>
    <row r="825" spans="2:13" x14ac:dyDescent="0.35">
      <c r="B825" s="5" t="str">
        <f t="shared" si="553"/>
        <v>SPS3</v>
      </c>
      <c r="C825" s="5" t="str">
        <f t="shared" ref="C825:C854" si="556">C824</f>
        <v>CH</v>
      </c>
      <c r="D825" t="s">
        <v>2040</v>
      </c>
      <c r="E825" t="s">
        <v>8</v>
      </c>
      <c r="F825" s="1">
        <f>[1]Industry!B$59</f>
        <v>28.619778783708703</v>
      </c>
      <c r="G825" s="1">
        <f>[1]Industry!C$59</f>
        <v>23.917169406183667</v>
      </c>
      <c r="H825" s="1">
        <f>[1]Industry!D$59</f>
        <v>30.204126320019078</v>
      </c>
      <c r="I825" s="1">
        <f>[1]Industry!E$59</f>
        <v>21.732405739767835</v>
      </c>
      <c r="J825" s="1">
        <f>[1]Industry!F$59</f>
        <v>7.7229005719831232</v>
      </c>
      <c r="K825" s="1">
        <f>[1]Industry!G$59</f>
        <v>3.1985335638401677</v>
      </c>
    </row>
    <row r="826" spans="2:13" x14ac:dyDescent="0.35">
      <c r="B826" s="5" t="str">
        <f t="shared" si="553"/>
        <v>SPS3</v>
      </c>
      <c r="C826" s="5" t="str">
        <f t="shared" si="556"/>
        <v>CH</v>
      </c>
      <c r="D826" t="s">
        <v>2041</v>
      </c>
      <c r="E826" t="s">
        <v>8</v>
      </c>
      <c r="F826" s="1">
        <f>[1]Industry!B$60</f>
        <v>0</v>
      </c>
      <c r="G826" s="1">
        <f>[1]Industry!C$60</f>
        <v>0</v>
      </c>
      <c r="H826" s="1">
        <f>[1]Industry!D$60</f>
        <v>0</v>
      </c>
      <c r="I826" s="1">
        <f>[1]Industry!E$60</f>
        <v>0</v>
      </c>
      <c r="J826" s="1">
        <f>[1]Industry!F$60</f>
        <v>1.4569990124936936E-3</v>
      </c>
      <c r="K826" s="1">
        <f>[1]Industry!G$60</f>
        <v>1.4565623555194461E-3</v>
      </c>
    </row>
    <row r="827" spans="2:13" x14ac:dyDescent="0.35">
      <c r="B827" s="5" t="str">
        <f t="shared" si="553"/>
        <v>SPS3</v>
      </c>
      <c r="C827" s="5" t="str">
        <f t="shared" si="556"/>
        <v>CH</v>
      </c>
      <c r="D827" t="s">
        <v>2042</v>
      </c>
      <c r="E827" t="s">
        <v>8</v>
      </c>
      <c r="F827" s="1">
        <f>[1]Industry!B$68</f>
        <v>0.31055695841056963</v>
      </c>
      <c r="G827" s="1">
        <f>[1]Industry!C$68</f>
        <v>0.3925295869627406</v>
      </c>
      <c r="H827" s="1">
        <f>[1]Industry!D$68</f>
        <v>0.39414681468860852</v>
      </c>
      <c r="I827" s="1">
        <f>[1]Industry!E$68</f>
        <v>0.39414015430031435</v>
      </c>
      <c r="J827" s="1">
        <f>[1]Industry!F$68</f>
        <v>0.39413824749598619</v>
      </c>
      <c r="K827" s="1">
        <f>[1]Industry!G$68</f>
        <v>0.39912695433521789</v>
      </c>
    </row>
    <row r="828" spans="2:13" x14ac:dyDescent="0.35">
      <c r="B828" s="5" t="str">
        <f t="shared" si="553"/>
        <v>SPS3</v>
      </c>
      <c r="C828" s="5" t="str">
        <f t="shared" si="556"/>
        <v>CH</v>
      </c>
      <c r="D828" t="s">
        <v>2043</v>
      </c>
      <c r="E828" t="s">
        <v>8</v>
      </c>
      <c r="F828" s="1">
        <f>F829</f>
        <v>2.3674463949469944</v>
      </c>
      <c r="G828" s="1">
        <f t="shared" ref="G828:K828" si="557">G829</f>
        <v>2.3075125820366078</v>
      </c>
      <c r="H828" s="1">
        <f t="shared" si="557"/>
        <v>0.91307060482731117</v>
      </c>
      <c r="I828" s="1">
        <f t="shared" si="557"/>
        <v>6.4743468678294389E-5</v>
      </c>
      <c r="J828" s="1">
        <f t="shared" si="557"/>
        <v>7.879912618713362E-5</v>
      </c>
      <c r="K828" s="1">
        <f t="shared" si="557"/>
        <v>5.7252417249075424E-6</v>
      </c>
    </row>
    <row r="829" spans="2:13" x14ac:dyDescent="0.35">
      <c r="B829" s="5" t="str">
        <f t="shared" si="553"/>
        <v>SPS3</v>
      </c>
      <c r="C829" s="5" t="str">
        <f t="shared" si="556"/>
        <v>CH</v>
      </c>
      <c r="D829" t="s">
        <v>2044</v>
      </c>
      <c r="E829" t="s">
        <v>8</v>
      </c>
      <c r="F829" s="1">
        <f>[1]Industry!B$61</f>
        <v>2.3674463949469944</v>
      </c>
      <c r="G829" s="1">
        <f>[1]Industry!C$61</f>
        <v>2.3075125820366078</v>
      </c>
      <c r="H829" s="1">
        <f>[1]Industry!D$61</f>
        <v>0.91307060482731117</v>
      </c>
      <c r="I829" s="1">
        <f>[1]Industry!E$61</f>
        <v>6.4743468678294389E-5</v>
      </c>
      <c r="J829" s="1">
        <f>[1]Industry!F$61</f>
        <v>7.879912618713362E-5</v>
      </c>
      <c r="K829" s="1">
        <f>[1]Industry!G$61</f>
        <v>5.7252417249075424E-6</v>
      </c>
    </row>
    <row r="830" spans="2:13" x14ac:dyDescent="0.35">
      <c r="B830" s="5" t="str">
        <f t="shared" si="553"/>
        <v>SPS3</v>
      </c>
      <c r="C830" s="5" t="str">
        <f t="shared" si="556"/>
        <v>CH</v>
      </c>
      <c r="D830" t="s">
        <v>2045</v>
      </c>
      <c r="E830" t="s">
        <v>8</v>
      </c>
      <c r="F830" s="1">
        <f>F831+F841</f>
        <v>11.76736748601278</v>
      </c>
      <c r="G830" s="1">
        <f t="shared" ref="G830:K830" si="558">G831+G841</f>
        <v>12.635421239785206</v>
      </c>
      <c r="H830" s="1">
        <f t="shared" si="558"/>
        <v>12.498768247058823</v>
      </c>
      <c r="I830" s="1">
        <f t="shared" si="558"/>
        <v>13.903799575367366</v>
      </c>
      <c r="J830" s="1">
        <f t="shared" si="558"/>
        <v>14.089270601988019</v>
      </c>
      <c r="K830" s="1">
        <f t="shared" si="558"/>
        <v>16.034636814964241</v>
      </c>
    </row>
    <row r="831" spans="2:13" x14ac:dyDescent="0.35">
      <c r="B831" s="5" t="str">
        <f t="shared" si="553"/>
        <v>SPS3</v>
      </c>
      <c r="C831" s="5" t="str">
        <f t="shared" si="556"/>
        <v>CH</v>
      </c>
      <c r="D831" t="s">
        <v>2046</v>
      </c>
      <c r="E831" t="s">
        <v>8</v>
      </c>
      <c r="F831" s="1">
        <f>[1]Industry!B$62</f>
        <v>5.185075046253953</v>
      </c>
      <c r="G831" s="1">
        <f>[1]Industry!C$62</f>
        <v>5.5675677554199599</v>
      </c>
      <c r="H831" s="1">
        <f>[1]Industry!D$62</f>
        <v>5.6657297698186806</v>
      </c>
      <c r="I831" s="1">
        <f>[1]Industry!E$62</f>
        <v>7.8561557769398274</v>
      </c>
      <c r="J831" s="1">
        <f>[1]Industry!F$62</f>
        <v>8.5392790635211071</v>
      </c>
      <c r="K831" s="1">
        <f>[1]Industry!G$62</f>
        <v>11.561564207350854</v>
      </c>
      <c r="M831" s="1"/>
    </row>
    <row r="832" spans="2:13" x14ac:dyDescent="0.35">
      <c r="B832" s="5" t="str">
        <f t="shared" si="553"/>
        <v>SPS3</v>
      </c>
      <c r="C832" s="5" t="str">
        <f t="shared" si="556"/>
        <v>CH</v>
      </c>
      <c r="D832" t="s">
        <v>2047</v>
      </c>
      <c r="E832" t="s">
        <v>8</v>
      </c>
      <c r="F832" s="1">
        <f>IFERROR(F791/F$790,0)*F$831</f>
        <v>1.1200443460871667</v>
      </c>
      <c r="G832" s="1">
        <f t="shared" ref="G832:K832" si="559">IFERROR(G791/G$790,0)*G$831</f>
        <v>2.2664230402618903</v>
      </c>
      <c r="H832" s="1">
        <f t="shared" si="559"/>
        <v>4.5080975372165578E-2</v>
      </c>
      <c r="I832" s="1">
        <f t="shared" si="559"/>
        <v>1.0120085215416113</v>
      </c>
      <c r="J832" s="1">
        <f t="shared" si="559"/>
        <v>1.2008031499998587E-3</v>
      </c>
      <c r="K832" s="1">
        <f t="shared" si="559"/>
        <v>2.613880771285068E-4</v>
      </c>
    </row>
    <row r="833" spans="2:13" x14ac:dyDescent="0.35">
      <c r="B833" s="5" t="str">
        <f t="shared" si="553"/>
        <v>SPS3</v>
      </c>
      <c r="C833" s="5" t="str">
        <f t="shared" si="556"/>
        <v>CH</v>
      </c>
      <c r="D833" t="s">
        <v>2048</v>
      </c>
      <c r="E833" t="s">
        <v>8</v>
      </c>
      <c r="F833" s="1">
        <f t="shared" ref="F833:K840" si="560">IFERROR(F792/F$790,0)*F$831</f>
        <v>0.93883340669749682</v>
      </c>
      <c r="G833" s="1">
        <f t="shared" si="560"/>
        <v>0.6414573361351471</v>
      </c>
      <c r="H833" s="1">
        <f t="shared" si="560"/>
        <v>5.8692696208563641E-2</v>
      </c>
      <c r="I833" s="1">
        <f t="shared" si="560"/>
        <v>2.514445478688267E-2</v>
      </c>
      <c r="J833" s="1">
        <f t="shared" si="560"/>
        <v>5.828216372698666E-3</v>
      </c>
      <c r="K833" s="1">
        <f t="shared" si="560"/>
        <v>8.2920751042679045E-4</v>
      </c>
    </row>
    <row r="834" spans="2:13" x14ac:dyDescent="0.35">
      <c r="B834" s="5" t="str">
        <f t="shared" si="553"/>
        <v>SPS3</v>
      </c>
      <c r="C834" s="5" t="str">
        <f t="shared" si="556"/>
        <v>CH</v>
      </c>
      <c r="D834" t="s">
        <v>2049</v>
      </c>
      <c r="E834" t="s">
        <v>8</v>
      </c>
      <c r="F834" s="1">
        <f t="shared" si="560"/>
        <v>0</v>
      </c>
      <c r="G834" s="1">
        <f t="shared" si="560"/>
        <v>0</v>
      </c>
      <c r="H834" s="1">
        <f t="shared" si="560"/>
        <v>0</v>
      </c>
      <c r="I834" s="1">
        <f t="shared" si="560"/>
        <v>0</v>
      </c>
      <c r="J834" s="1">
        <f t="shared" si="560"/>
        <v>3.3033226563786096E-4</v>
      </c>
      <c r="K834" s="1">
        <f t="shared" si="560"/>
        <v>5.4346934508887987E-4</v>
      </c>
    </row>
    <row r="835" spans="2:13" x14ac:dyDescent="0.35">
      <c r="B835" s="5" t="str">
        <f t="shared" si="553"/>
        <v>SPS3</v>
      </c>
      <c r="C835" s="5" t="str">
        <f t="shared" si="556"/>
        <v>CH</v>
      </c>
      <c r="D835" t="s">
        <v>2050</v>
      </c>
      <c r="E835" t="s">
        <v>8</v>
      </c>
      <c r="F835" s="1">
        <f t="shared" si="560"/>
        <v>0</v>
      </c>
      <c r="G835" s="1">
        <f t="shared" si="560"/>
        <v>0</v>
      </c>
      <c r="H835" s="1">
        <f t="shared" si="560"/>
        <v>0</v>
      </c>
      <c r="I835" s="1">
        <f t="shared" si="560"/>
        <v>0</v>
      </c>
      <c r="J835" s="1">
        <f t="shared" si="560"/>
        <v>4.3337615416717308E-4</v>
      </c>
      <c r="K835" s="1">
        <f t="shared" si="560"/>
        <v>5.5631917552789907E-4</v>
      </c>
    </row>
    <row r="836" spans="2:13" x14ac:dyDescent="0.35">
      <c r="B836" s="5" t="str">
        <f t="shared" si="553"/>
        <v>SPS3</v>
      </c>
      <c r="C836" s="5" t="str">
        <f t="shared" si="556"/>
        <v>CH</v>
      </c>
      <c r="D836" t="s">
        <v>2051</v>
      </c>
      <c r="E836" t="s">
        <v>8</v>
      </c>
      <c r="F836" s="1">
        <f t="shared" si="560"/>
        <v>2.3313944617200808</v>
      </c>
      <c r="G836" s="1">
        <f t="shared" si="560"/>
        <v>2.0347650118073881</v>
      </c>
      <c r="H836" s="1">
        <f t="shared" si="560"/>
        <v>2.389160350499524</v>
      </c>
      <c r="I836" s="1">
        <f t="shared" si="560"/>
        <v>2.0998991392318977</v>
      </c>
      <c r="J836" s="1">
        <f t="shared" si="560"/>
        <v>1.5819619162760834</v>
      </c>
      <c r="K836" s="1">
        <f t="shared" si="560"/>
        <v>2.3460866816962076E-4</v>
      </c>
    </row>
    <row r="837" spans="2:13" x14ac:dyDescent="0.35">
      <c r="B837" s="5" t="str">
        <f t="shared" si="553"/>
        <v>SPS3</v>
      </c>
      <c r="C837" s="5" t="str">
        <f t="shared" si="556"/>
        <v>CH</v>
      </c>
      <c r="D837" t="s">
        <v>2052</v>
      </c>
      <c r="E837" t="s">
        <v>8</v>
      </c>
      <c r="F837" s="1">
        <f t="shared" si="560"/>
        <v>0</v>
      </c>
      <c r="G837" s="1">
        <f t="shared" si="560"/>
        <v>0</v>
      </c>
      <c r="H837" s="1">
        <f t="shared" si="560"/>
        <v>0</v>
      </c>
      <c r="I837" s="1">
        <f t="shared" si="560"/>
        <v>0</v>
      </c>
      <c r="J837" s="1">
        <f t="shared" si="560"/>
        <v>1.3131818408643463E-4</v>
      </c>
      <c r="K837" s="1">
        <f t="shared" si="560"/>
        <v>1.9222653188567553</v>
      </c>
    </row>
    <row r="838" spans="2:13" x14ac:dyDescent="0.35">
      <c r="B838" s="5" t="str">
        <f t="shared" si="553"/>
        <v>SPS3</v>
      </c>
      <c r="C838" s="5" t="str">
        <f t="shared" si="556"/>
        <v>CH</v>
      </c>
      <c r="D838" t="s">
        <v>2053</v>
      </c>
      <c r="E838" t="s">
        <v>8</v>
      </c>
      <c r="F838" s="1">
        <f t="shared" si="560"/>
        <v>0.79480283174920829</v>
      </c>
      <c r="G838" s="1">
        <f t="shared" si="560"/>
        <v>0.62492236721553462</v>
      </c>
      <c r="H838" s="1">
        <f t="shared" si="560"/>
        <v>3.1727957477384279</v>
      </c>
      <c r="I838" s="1">
        <f t="shared" si="560"/>
        <v>4.7191036613794353</v>
      </c>
      <c r="J838" s="1">
        <f t="shared" si="560"/>
        <v>5.0588016078693796</v>
      </c>
      <c r="K838" s="1">
        <f t="shared" si="560"/>
        <v>3.2435128218104059</v>
      </c>
    </row>
    <row r="839" spans="2:13" x14ac:dyDescent="0.35">
      <c r="B839" s="5" t="str">
        <f t="shared" si="553"/>
        <v>SPS3</v>
      </c>
      <c r="C839" s="5" t="str">
        <f t="shared" si="556"/>
        <v>CH</v>
      </c>
      <c r="D839" t="s">
        <v>2054</v>
      </c>
      <c r="E839" t="s">
        <v>8</v>
      </c>
      <c r="F839" s="1">
        <f t="shared" si="560"/>
        <v>0</v>
      </c>
      <c r="G839" s="1">
        <f t="shared" si="560"/>
        <v>0</v>
      </c>
      <c r="H839" s="1">
        <f t="shared" si="560"/>
        <v>0</v>
      </c>
      <c r="I839" s="1">
        <f t="shared" si="560"/>
        <v>0</v>
      </c>
      <c r="J839" s="1">
        <f t="shared" si="560"/>
        <v>1.8878930426284113</v>
      </c>
      <c r="K839" s="1">
        <f t="shared" si="560"/>
        <v>4.5833685965870092</v>
      </c>
    </row>
    <row r="840" spans="2:13" x14ac:dyDescent="0.35">
      <c r="B840" s="5" t="str">
        <f t="shared" si="553"/>
        <v>SPS3</v>
      </c>
      <c r="C840" s="5" t="str">
        <f t="shared" si="556"/>
        <v>CH</v>
      </c>
      <c r="D840" t="s">
        <v>2055</v>
      </c>
      <c r="E840" t="s">
        <v>8</v>
      </c>
      <c r="F840" s="1">
        <f t="shared" si="560"/>
        <v>0</v>
      </c>
      <c r="G840" s="1">
        <f t="shared" si="560"/>
        <v>0</v>
      </c>
      <c r="H840" s="1">
        <f t="shared" si="560"/>
        <v>0</v>
      </c>
      <c r="I840" s="1">
        <f t="shared" si="560"/>
        <v>0</v>
      </c>
      <c r="J840" s="1">
        <f t="shared" si="560"/>
        <v>2.6984506206420961E-3</v>
      </c>
      <c r="K840" s="1">
        <f t="shared" si="560"/>
        <v>1.8099924773203413</v>
      </c>
      <c r="M840" s="1"/>
    </row>
    <row r="841" spans="2:13" x14ac:dyDescent="0.35">
      <c r="B841" s="5" t="str">
        <f t="shared" si="553"/>
        <v>SPS3</v>
      </c>
      <c r="C841" s="5" t="str">
        <f t="shared" si="556"/>
        <v>CH</v>
      </c>
      <c r="D841" t="s">
        <v>2056</v>
      </c>
      <c r="E841" t="s">
        <v>8</v>
      </c>
      <c r="F841" s="1">
        <f>[1]Industry!B$63</f>
        <v>6.5822924397588274</v>
      </c>
      <c r="G841" s="1">
        <f>[1]Industry!C$63</f>
        <v>7.0678534843652461</v>
      </c>
      <c r="H841" s="1">
        <f>[1]Industry!D$63</f>
        <v>6.8330384772401418</v>
      </c>
      <c r="I841" s="1">
        <f>[1]Industry!E$63</f>
        <v>6.0476437984275373</v>
      </c>
      <c r="J841" s="1">
        <f>[1]Industry!F$63</f>
        <v>5.5499915384669114</v>
      </c>
      <c r="K841" s="1">
        <f>[1]Industry!G$63</f>
        <v>4.4730726076133882</v>
      </c>
    </row>
    <row r="842" spans="2:13" x14ac:dyDescent="0.35">
      <c r="B842" s="5" t="str">
        <f t="shared" si="553"/>
        <v>SPS3</v>
      </c>
      <c r="C842" s="5" t="str">
        <f t="shared" si="556"/>
        <v>CH</v>
      </c>
      <c r="D842" t="s">
        <v>2057</v>
      </c>
      <c r="E842" t="s">
        <v>8</v>
      </c>
      <c r="F842" s="1">
        <f>F843</f>
        <v>5.3111705173667421</v>
      </c>
      <c r="G842" s="1">
        <f t="shared" ref="G842:K842" si="561">G843</f>
        <v>6.2669644138642679</v>
      </c>
      <c r="H842" s="1">
        <f t="shared" si="561"/>
        <v>5.794814445405704</v>
      </c>
      <c r="I842" s="1">
        <f t="shared" si="561"/>
        <v>5.8968593300387395</v>
      </c>
      <c r="J842" s="1">
        <f t="shared" si="561"/>
        <v>3.466389336658521</v>
      </c>
      <c r="K842" s="1">
        <f t="shared" si="561"/>
        <v>1.6144546341263935E-3</v>
      </c>
    </row>
    <row r="843" spans="2:13" x14ac:dyDescent="0.35">
      <c r="B843" s="5" t="str">
        <f t="shared" si="553"/>
        <v>SPS3</v>
      </c>
      <c r="C843" s="5" t="str">
        <f t="shared" si="556"/>
        <v>CH</v>
      </c>
      <c r="D843" t="s">
        <v>2058</v>
      </c>
      <c r="E843" t="s">
        <v>8</v>
      </c>
      <c r="F843" s="1">
        <f>[1]Industry!B$64</f>
        <v>5.3111705173667421</v>
      </c>
      <c r="G843" s="1">
        <f>[1]Industry!C$64</f>
        <v>6.2669644138642679</v>
      </c>
      <c r="H843" s="1">
        <f>[1]Industry!D$64</f>
        <v>5.794814445405704</v>
      </c>
      <c r="I843" s="1">
        <f>[1]Industry!E$64</f>
        <v>5.8968593300387395</v>
      </c>
      <c r="J843" s="1">
        <f>[1]Industry!F$64</f>
        <v>3.466389336658521</v>
      </c>
      <c r="K843" s="1">
        <f>[1]Industry!G$64</f>
        <v>1.6144546341263935E-3</v>
      </c>
    </row>
    <row r="844" spans="2:13" x14ac:dyDescent="0.35">
      <c r="B844" s="5" t="str">
        <f t="shared" si="553"/>
        <v>SPS3</v>
      </c>
      <c r="C844" s="5" t="str">
        <f t="shared" si="556"/>
        <v>CH</v>
      </c>
      <c r="D844" t="s">
        <v>2059</v>
      </c>
      <c r="E844" t="s">
        <v>8</v>
      </c>
      <c r="F844" s="1">
        <f>F845</f>
        <v>0.46154164846002838</v>
      </c>
      <c r="G844" s="1">
        <f t="shared" ref="G844:K844" si="562">G845</f>
        <v>0.54458380531043937</v>
      </c>
      <c r="H844" s="1">
        <f t="shared" si="562"/>
        <v>0.54461258844008897</v>
      </c>
      <c r="I844" s="1">
        <f t="shared" si="562"/>
        <v>0.54461305540051896</v>
      </c>
      <c r="J844" s="1">
        <f t="shared" si="562"/>
        <v>3.0516079722236129</v>
      </c>
      <c r="K844" s="1">
        <f t="shared" si="562"/>
        <v>4.1523965567269139</v>
      </c>
    </row>
    <row r="845" spans="2:13" x14ac:dyDescent="0.35">
      <c r="B845" s="5" t="str">
        <f t="shared" si="553"/>
        <v>SPS3</v>
      </c>
      <c r="C845" s="5" t="str">
        <f t="shared" si="556"/>
        <v>CH</v>
      </c>
      <c r="D845" t="s">
        <v>2060</v>
      </c>
      <c r="E845" t="s">
        <v>8</v>
      </c>
      <c r="F845" s="1">
        <f>[1]Industry!B$65</f>
        <v>0.46154164846002838</v>
      </c>
      <c r="G845" s="1">
        <f>[1]Industry!C$65</f>
        <v>0.54458380531043937</v>
      </c>
      <c r="H845" s="1">
        <f>[1]Industry!D$65</f>
        <v>0.54461258844008897</v>
      </c>
      <c r="I845" s="1">
        <f>[1]Industry!E$65</f>
        <v>0.54461305540051896</v>
      </c>
      <c r="J845" s="1">
        <f>[1]Industry!F$65</f>
        <v>3.0516079722236129</v>
      </c>
      <c r="K845" s="1">
        <f>[1]Industry!G$65</f>
        <v>4.1523965567269139</v>
      </c>
    </row>
    <row r="846" spans="2:13" x14ac:dyDescent="0.35">
      <c r="B846" s="5" t="str">
        <f t="shared" si="553"/>
        <v>SPS3</v>
      </c>
      <c r="C846" s="5" t="str">
        <f t="shared" si="556"/>
        <v>CH</v>
      </c>
      <c r="D846" t="s">
        <v>2061</v>
      </c>
      <c r="E846" t="s">
        <v>8</v>
      </c>
      <c r="F846" s="1">
        <f>F847</f>
        <v>4.1173882482241346</v>
      </c>
      <c r="G846" s="1">
        <f t="shared" ref="G846:K846" si="563">G847</f>
        <v>4.2663598536538423</v>
      </c>
      <c r="H846" s="1">
        <f t="shared" si="563"/>
        <v>2.9612546954136878</v>
      </c>
      <c r="I846" s="1">
        <f t="shared" si="563"/>
        <v>2.9281883194416984</v>
      </c>
      <c r="J846" s="1">
        <f t="shared" si="563"/>
        <v>2.9093169449244569</v>
      </c>
      <c r="K846" s="1">
        <f t="shared" si="563"/>
        <v>3.4751058794456676E-5</v>
      </c>
    </row>
    <row r="847" spans="2:13" x14ac:dyDescent="0.35">
      <c r="B847" s="5" t="str">
        <f t="shared" si="553"/>
        <v>SPS3</v>
      </c>
      <c r="C847" s="5" t="str">
        <f t="shared" si="556"/>
        <v>CH</v>
      </c>
      <c r="D847" t="s">
        <v>2062</v>
      </c>
      <c r="E847" t="s">
        <v>8</v>
      </c>
      <c r="F847" s="1">
        <f>[1]Industry!B$66</f>
        <v>4.1173882482241346</v>
      </c>
      <c r="G847" s="1">
        <f>[1]Industry!C$66</f>
        <v>4.2663598536538423</v>
      </c>
      <c r="H847" s="1">
        <f>[1]Industry!D$66</f>
        <v>2.9612546954136878</v>
      </c>
      <c r="I847" s="1">
        <f>[1]Industry!E$66</f>
        <v>2.9281883194416984</v>
      </c>
      <c r="J847" s="1">
        <f>[1]Industry!F$66</f>
        <v>2.9093169449244569</v>
      </c>
      <c r="K847" s="1">
        <f>[1]Industry!G$66</f>
        <v>3.4751058794456676E-5</v>
      </c>
    </row>
    <row r="848" spans="2:13" x14ac:dyDescent="0.35">
      <c r="B848" s="5" t="str">
        <f t="shared" si="553"/>
        <v>SPS3</v>
      </c>
      <c r="C848" s="5" t="str">
        <f t="shared" si="556"/>
        <v>CH</v>
      </c>
      <c r="D848" t="s">
        <v>2063</v>
      </c>
      <c r="E848" t="s">
        <v>8</v>
      </c>
      <c r="F848" s="1">
        <f>F849</f>
        <v>6.7733905891750074E-2</v>
      </c>
      <c r="G848" s="1">
        <f t="shared" ref="G848:K848" si="564">G849</f>
        <v>8.5512491860011752E-2</v>
      </c>
      <c r="H848" s="1">
        <f t="shared" si="564"/>
        <v>8.6919081944357685E-2</v>
      </c>
      <c r="I848" s="1">
        <f t="shared" si="564"/>
        <v>2.3297828556720694</v>
      </c>
      <c r="J848" s="1">
        <f t="shared" si="564"/>
        <v>2.3466738001341261</v>
      </c>
      <c r="K848" s="1">
        <f t="shared" si="564"/>
        <v>2.3649467320251465</v>
      </c>
    </row>
    <row r="849" spans="2:11" x14ac:dyDescent="0.35">
      <c r="B849" s="5" t="str">
        <f t="shared" si="553"/>
        <v>SPS3</v>
      </c>
      <c r="C849" s="5" t="str">
        <f t="shared" si="556"/>
        <v>CH</v>
      </c>
      <c r="D849" t="s">
        <v>2064</v>
      </c>
      <c r="E849" t="s">
        <v>8</v>
      </c>
      <c r="F849" s="1">
        <f>[1]Industry!B$67</f>
        <v>6.7733905891750074E-2</v>
      </c>
      <c r="G849" s="1">
        <f>[1]Industry!C$67</f>
        <v>8.5512491860011752E-2</v>
      </c>
      <c r="H849" s="1">
        <f>[1]Industry!D$67</f>
        <v>8.6919081944357685E-2</v>
      </c>
      <c r="I849" s="1">
        <f>[1]Industry!E$67</f>
        <v>2.3297828556720694</v>
      </c>
      <c r="J849" s="1">
        <f>[1]Industry!F$67</f>
        <v>2.3466738001341261</v>
      </c>
      <c r="K849" s="1">
        <f>[1]Industry!G$67</f>
        <v>2.3649467320251465</v>
      </c>
    </row>
    <row r="850" spans="2:11" x14ac:dyDescent="0.35">
      <c r="B850" s="5" t="str">
        <f t="shared" si="553"/>
        <v>SPS3</v>
      </c>
      <c r="C850" s="5" t="str">
        <f t="shared" si="556"/>
        <v>CH</v>
      </c>
      <c r="D850" t="s">
        <v>2065</v>
      </c>
      <c r="E850" t="s">
        <v>8</v>
      </c>
      <c r="F850" s="1">
        <f>F851</f>
        <v>0</v>
      </c>
      <c r="G850" s="1">
        <f t="shared" ref="G850:K850" si="565">G851</f>
        <v>0</v>
      </c>
      <c r="H850" s="1">
        <f t="shared" si="565"/>
        <v>0</v>
      </c>
      <c r="I850" s="1">
        <f t="shared" si="565"/>
        <v>0</v>
      </c>
      <c r="J850" s="1">
        <f t="shared" si="565"/>
        <v>1.3133464522714562</v>
      </c>
      <c r="K850" s="1">
        <f t="shared" si="565"/>
        <v>2.7202974349687912</v>
      </c>
    </row>
    <row r="851" spans="2:11" x14ac:dyDescent="0.35">
      <c r="B851" s="5" t="str">
        <f t="shared" si="553"/>
        <v>SPS3</v>
      </c>
      <c r="C851" s="5" t="str">
        <f t="shared" si="556"/>
        <v>CH</v>
      </c>
      <c r="D851" t="s">
        <v>2066</v>
      </c>
      <c r="E851" t="s">
        <v>8</v>
      </c>
      <c r="F851" s="1">
        <f>[1]Industry!B$69</f>
        <v>0</v>
      </c>
      <c r="G851" s="1">
        <f>[1]Industry!C$69</f>
        <v>0</v>
      </c>
      <c r="H851" s="1">
        <f>[1]Industry!D$69</f>
        <v>0</v>
      </c>
      <c r="I851" s="1">
        <f>[1]Industry!E$69</f>
        <v>0</v>
      </c>
      <c r="J851" s="1">
        <f>[1]Industry!F$69</f>
        <v>1.3133464522714562</v>
      </c>
      <c r="K851" s="1">
        <f>[1]Industry!G$69</f>
        <v>2.7202974349687912</v>
      </c>
    </row>
    <row r="852" spans="2:11" x14ac:dyDescent="0.35">
      <c r="B852" s="5" t="str">
        <f t="shared" si="553"/>
        <v>SPS3</v>
      </c>
      <c r="C852" s="5" t="str">
        <f t="shared" si="556"/>
        <v>CH</v>
      </c>
      <c r="D852" t="s">
        <v>2067</v>
      </c>
      <c r="E852" t="s">
        <v>8</v>
      </c>
      <c r="F852" s="1">
        <f>SUM(F853:F854)</f>
        <v>0</v>
      </c>
      <c r="G852" s="1">
        <f t="shared" ref="G852:K852" si="566">SUM(G853:G854)</f>
        <v>4.8943187014452754</v>
      </c>
      <c r="H852" s="1">
        <f t="shared" si="566"/>
        <v>4.8944153162661532</v>
      </c>
      <c r="I852" s="1">
        <f t="shared" si="566"/>
        <v>14.46626122870841</v>
      </c>
      <c r="J852" s="1">
        <f t="shared" si="566"/>
        <v>27.384518768276493</v>
      </c>
      <c r="K852" s="1">
        <f t="shared" si="566"/>
        <v>38.377921677815166</v>
      </c>
    </row>
    <row r="853" spans="2:11" x14ac:dyDescent="0.35">
      <c r="B853" s="5" t="str">
        <f t="shared" si="553"/>
        <v>SPS3</v>
      </c>
      <c r="C853" s="5" t="str">
        <f t="shared" si="556"/>
        <v>CH</v>
      </c>
      <c r="D853" t="s">
        <v>2068</v>
      </c>
      <c r="E853" t="s">
        <v>8</v>
      </c>
      <c r="F853" s="1">
        <f>[1]Industry!B$6-F854</f>
        <v>0</v>
      </c>
      <c r="G853" s="1">
        <f>[1]Industry!C$6-G854</f>
        <v>0.85061622623898714</v>
      </c>
      <c r="H853" s="1">
        <f>[1]Industry!D$6-H854</f>
        <v>0.85063301757182419</v>
      </c>
      <c r="I853" s="1">
        <f>[1]Industry!E$6-I854</f>
        <v>4.0635972001779361</v>
      </c>
      <c r="J853" s="1">
        <f>[1]Industry!F$6-J854</f>
        <v>5.631137022729142</v>
      </c>
      <c r="K853" s="1">
        <f>[1]Industry!G$6-K854</f>
        <v>7.490286063568643</v>
      </c>
    </row>
    <row r="854" spans="2:11" x14ac:dyDescent="0.35">
      <c r="B854" s="5" t="str">
        <f t="shared" si="553"/>
        <v>SPS3</v>
      </c>
      <c r="C854" s="5" t="str">
        <f t="shared" si="556"/>
        <v>CH</v>
      </c>
      <c r="D854" t="s">
        <v>2069</v>
      </c>
      <c r="E854" t="s">
        <v>8</v>
      </c>
      <c r="F854" s="1">
        <f>[1]Industry!B$70</f>
        <v>0</v>
      </c>
      <c r="G854" s="1">
        <f>[1]Industry!C$70</f>
        <v>4.0437024752062882</v>
      </c>
      <c r="H854" s="1">
        <f>[1]Industry!D$70</f>
        <v>4.043782298694329</v>
      </c>
      <c r="I854" s="1">
        <f>[1]Industry!E$70</f>
        <v>10.402664028530474</v>
      </c>
      <c r="J854" s="1">
        <f>[1]Industry!F$70</f>
        <v>21.753381745547351</v>
      </c>
      <c r="K854" s="1">
        <f>[1]Industry!G$70</f>
        <v>30.887635614246523</v>
      </c>
    </row>
    <row r="855" spans="2:11" x14ac:dyDescent="0.35">
      <c r="B855" s="9" t="str">
        <f t="shared" si="553"/>
        <v>SPS3</v>
      </c>
      <c r="C855" s="9" t="str">
        <f>C854</f>
        <v>CH</v>
      </c>
      <c r="D855" s="2" t="s">
        <v>687</v>
      </c>
      <c r="E855" s="2" t="s">
        <v>240</v>
      </c>
      <c r="F855" s="1" t="s">
        <v>292</v>
      </c>
      <c r="G855" s="1" t="s">
        <v>292</v>
      </c>
      <c r="H855" s="1" t="s">
        <v>292</v>
      </c>
      <c r="I855" s="1" t="s">
        <v>292</v>
      </c>
      <c r="J855" s="1" t="s">
        <v>292</v>
      </c>
      <c r="K855" s="1" t="s">
        <v>292</v>
      </c>
    </row>
    <row r="856" spans="2:11" x14ac:dyDescent="0.35">
      <c r="B856" s="5" t="str">
        <f t="shared" si="553"/>
        <v>SPS3</v>
      </c>
      <c r="C856" s="5" t="str">
        <f>C855</f>
        <v>CH</v>
      </c>
      <c r="D856" t="s">
        <v>2070</v>
      </c>
      <c r="E856" t="s">
        <v>240</v>
      </c>
      <c r="F856" s="4">
        <f>IFERROR(F818/F763,"-")</f>
        <v>0.84261542941328416</v>
      </c>
      <c r="G856" s="4">
        <f t="shared" ref="G856:K856" si="567">IFERROR(G818/G763,"-")</f>
        <v>0.84306236513985411</v>
      </c>
      <c r="H856" s="4">
        <f t="shared" si="567"/>
        <v>0.84373276872970704</v>
      </c>
      <c r="I856" s="4">
        <f t="shared" si="567"/>
        <v>0.84485010804612914</v>
      </c>
      <c r="J856" s="4">
        <f t="shared" si="567"/>
        <v>0.8470847866789778</v>
      </c>
      <c r="K856" s="4">
        <f t="shared" si="567"/>
        <v>0.84931946531182423</v>
      </c>
    </row>
    <row r="857" spans="2:11" x14ac:dyDescent="0.35">
      <c r="B857" s="5" t="str">
        <f t="shared" si="553"/>
        <v>SPS3</v>
      </c>
      <c r="C857" s="5" t="str">
        <f t="shared" ref="C857:C879" si="568">C856</f>
        <v>CH</v>
      </c>
      <c r="D857" t="s">
        <v>2071</v>
      </c>
      <c r="E857" t="s">
        <v>240</v>
      </c>
      <c r="F857" s="4">
        <f t="shared" ref="F857:K857" si="569">IFERROR(F819/F764,"-")</f>
        <v>3.0809801822513281</v>
      </c>
      <c r="G857" s="4">
        <f t="shared" si="569"/>
        <v>3.1055374774069149</v>
      </c>
      <c r="H857" s="4">
        <f t="shared" si="569"/>
        <v>3.142373420140288</v>
      </c>
      <c r="I857" s="4">
        <f t="shared" si="569"/>
        <v>3.2037666580292541</v>
      </c>
      <c r="J857" s="4">
        <f t="shared" si="569"/>
        <v>3.3265531338071694</v>
      </c>
      <c r="K857" s="4">
        <f t="shared" si="569"/>
        <v>3.4493396095850923</v>
      </c>
    </row>
    <row r="858" spans="2:11" x14ac:dyDescent="0.35">
      <c r="B858" s="5" t="str">
        <f t="shared" si="553"/>
        <v>SPS3</v>
      </c>
      <c r="C858" s="5" t="str">
        <f t="shared" si="568"/>
        <v>CH</v>
      </c>
      <c r="D858" t="s">
        <v>2072</v>
      </c>
      <c r="E858" t="s">
        <v>240</v>
      </c>
      <c r="F858" s="4">
        <f t="shared" ref="F858:K858" si="570">IFERROR(F820/F765,"-")</f>
        <v>0.99999999999999989</v>
      </c>
      <c r="G858" s="4">
        <f t="shared" si="570"/>
        <v>0.99999989518022148</v>
      </c>
      <c r="H858" s="4">
        <f t="shared" si="570"/>
        <v>0.99999989532812783</v>
      </c>
      <c r="I858" s="4">
        <f t="shared" si="570"/>
        <v>1.0000018835302027</v>
      </c>
      <c r="J858" s="4">
        <f t="shared" si="570"/>
        <v>1.0273713485101683</v>
      </c>
      <c r="K858" s="4">
        <f t="shared" si="570"/>
        <v>1.0180816973593869</v>
      </c>
    </row>
    <row r="859" spans="2:11" x14ac:dyDescent="0.35">
      <c r="B859" s="5" t="str">
        <f t="shared" si="553"/>
        <v>SPS3</v>
      </c>
      <c r="C859" s="5" t="str">
        <f t="shared" si="568"/>
        <v>CH</v>
      </c>
      <c r="D859" t="s">
        <v>2073</v>
      </c>
      <c r="E859" t="s">
        <v>240</v>
      </c>
      <c r="F859" s="4">
        <f>IFERROR(F822/F767,"-")</f>
        <v>0.7774621322436357</v>
      </c>
      <c r="G859" s="4">
        <f t="shared" ref="G859:K860" si="571">IFERROR(G822/G767,"-")</f>
        <v>0.77871988564932415</v>
      </c>
      <c r="H859" s="4">
        <f t="shared" si="571"/>
        <v>0.78060651575785522</v>
      </c>
      <c r="I859" s="4">
        <f t="shared" si="571"/>
        <v>0.78375089927207675</v>
      </c>
      <c r="J859" s="4">
        <f t="shared" si="571"/>
        <v>0.79003966630051858</v>
      </c>
      <c r="K859" s="4">
        <f t="shared" si="571"/>
        <v>0.79632843332896175</v>
      </c>
    </row>
    <row r="860" spans="2:11" x14ac:dyDescent="0.35">
      <c r="B860" s="5" t="str">
        <f t="shared" si="553"/>
        <v>SPS3</v>
      </c>
      <c r="C860" s="5" t="str">
        <f t="shared" si="568"/>
        <v>CH</v>
      </c>
      <c r="D860" t="s">
        <v>2074</v>
      </c>
      <c r="E860" t="s">
        <v>240</v>
      </c>
      <c r="F860" s="4">
        <f>IFERROR(F823/F768,"-")</f>
        <v>0.67612500000000109</v>
      </c>
      <c r="G860" s="4">
        <f t="shared" si="571"/>
        <v>0.67904999999999993</v>
      </c>
      <c r="H860" s="4">
        <f t="shared" si="571"/>
        <v>0.68343749999999948</v>
      </c>
      <c r="I860" s="4">
        <f t="shared" si="571"/>
        <v>0.69074999999999998</v>
      </c>
      <c r="J860" s="4">
        <f t="shared" si="571"/>
        <v>0.7053750000000002</v>
      </c>
      <c r="K860" s="4" t="str">
        <f t="shared" si="571"/>
        <v>-</v>
      </c>
    </row>
    <row r="861" spans="2:11" x14ac:dyDescent="0.35">
      <c r="B861" s="5" t="str">
        <f t="shared" si="553"/>
        <v>SPS3</v>
      </c>
      <c r="C861" s="5" t="str">
        <f t="shared" si="568"/>
        <v>CH</v>
      </c>
      <c r="D861" t="s">
        <v>2075</v>
      </c>
      <c r="E861" t="s">
        <v>240</v>
      </c>
      <c r="F861" s="4">
        <f>IFERROR(F825/F777,"-")</f>
        <v>0.80501986028356809</v>
      </c>
      <c r="G861" s="4">
        <f t="shared" ref="G861:K863" si="572">IFERROR(G825/G777,"-")</f>
        <v>0.80572705771779229</v>
      </c>
      <c r="H861" s="4">
        <f t="shared" si="572"/>
        <v>0.80676489057909095</v>
      </c>
      <c r="I861" s="4">
        <f t="shared" si="572"/>
        <v>0.80852645006348056</v>
      </c>
      <c r="J861" s="4">
        <f t="shared" si="572"/>
        <v>0.83708025476990067</v>
      </c>
      <c r="K861" s="4">
        <f t="shared" si="572"/>
        <v>0.83651506482870785</v>
      </c>
    </row>
    <row r="862" spans="2:11" x14ac:dyDescent="0.35">
      <c r="B862" s="5" t="str">
        <f t="shared" si="553"/>
        <v>SPS3</v>
      </c>
      <c r="C862" s="5" t="str">
        <f t="shared" si="568"/>
        <v>CH</v>
      </c>
      <c r="D862" t="s">
        <v>2076</v>
      </c>
      <c r="E862" t="s">
        <v>240</v>
      </c>
      <c r="F862" s="4">
        <f>IFERROR(F826/F778,"-")</f>
        <v>0</v>
      </c>
      <c r="G862" s="4">
        <f t="shared" si="572"/>
        <v>0</v>
      </c>
      <c r="H862" s="4" t="str">
        <f t="shared" si="572"/>
        <v>-</v>
      </c>
      <c r="I862" s="4" t="str">
        <f t="shared" si="572"/>
        <v>-</v>
      </c>
      <c r="J862" s="4" t="str">
        <f t="shared" si="572"/>
        <v>-</v>
      </c>
      <c r="K862" s="4" t="str">
        <f t="shared" si="572"/>
        <v>-</v>
      </c>
    </row>
    <row r="863" spans="2:11" x14ac:dyDescent="0.35">
      <c r="B863" s="5" t="str">
        <f t="shared" si="553"/>
        <v>SPS3</v>
      </c>
      <c r="C863" s="5" t="str">
        <f t="shared" si="568"/>
        <v>CH</v>
      </c>
      <c r="D863" t="s">
        <v>2077</v>
      </c>
      <c r="E863" t="s">
        <v>240</v>
      </c>
      <c r="F863" s="4">
        <f>IFERROR(F827/F779,"-")</f>
        <v>0.70981372256448305</v>
      </c>
      <c r="G863" s="4">
        <f t="shared" si="572"/>
        <v>0.71009477738038973</v>
      </c>
      <c r="H863" s="4">
        <f t="shared" si="572"/>
        <v>0.71099999999999941</v>
      </c>
      <c r="I863" s="4">
        <f t="shared" si="572"/>
        <v>0.71099999999999985</v>
      </c>
      <c r="J863" s="4">
        <f t="shared" si="572"/>
        <v>0.7109999999999993</v>
      </c>
      <c r="K863" s="4">
        <f t="shared" si="572"/>
        <v>0.71999999999999986</v>
      </c>
    </row>
    <row r="864" spans="2:11" x14ac:dyDescent="0.35">
      <c r="B864" s="5" t="str">
        <f t="shared" si="553"/>
        <v>SPS3</v>
      </c>
      <c r="C864" s="5" t="str">
        <f t="shared" si="568"/>
        <v>CH</v>
      </c>
      <c r="D864" t="s">
        <v>2078</v>
      </c>
      <c r="E864" t="s">
        <v>240</v>
      </c>
      <c r="F864" s="4">
        <f>IFERROR(F829/F788,"-")</f>
        <v>0.66500000000000048</v>
      </c>
      <c r="G864" s="4">
        <f t="shared" ref="G864:K864" si="573">IFERROR(G829/G788,"-")</f>
        <v>0.66599999999999981</v>
      </c>
      <c r="H864" s="4">
        <f t="shared" si="573"/>
        <v>0.66749999999999921</v>
      </c>
      <c r="I864" s="4">
        <f t="shared" si="573"/>
        <v>0.67000000000000048</v>
      </c>
      <c r="J864" s="4">
        <f t="shared" si="573"/>
        <v>0.67499999999999993</v>
      </c>
      <c r="K864" s="4">
        <f t="shared" si="573"/>
        <v>0.6800000000000006</v>
      </c>
    </row>
    <row r="865" spans="2:12" x14ac:dyDescent="0.35">
      <c r="B865" s="5" t="str">
        <f t="shared" si="553"/>
        <v>SPS3</v>
      </c>
      <c r="C865" s="5" t="str">
        <f t="shared" si="568"/>
        <v>CH</v>
      </c>
      <c r="D865" t="s">
        <v>2079</v>
      </c>
      <c r="E865" t="s">
        <v>240</v>
      </c>
      <c r="F865" s="4">
        <f>IFERROR(F832/F791,"-")</f>
        <v>1.2048882618498444</v>
      </c>
      <c r="G865" s="4">
        <f t="shared" ref="G865:K865" si="574">IFERROR(G832/G791,"-")</f>
        <v>1.0946586519761894</v>
      </c>
      <c r="H865" s="4">
        <f t="shared" si="574"/>
        <v>0.93681020134612802</v>
      </c>
      <c r="I865" s="4">
        <f t="shared" si="574"/>
        <v>0.93604992155869882</v>
      </c>
      <c r="J865" s="4">
        <f t="shared" si="574"/>
        <v>0.94419808011389872</v>
      </c>
      <c r="K865" s="4">
        <f t="shared" si="574"/>
        <v>0.94627130185679864</v>
      </c>
    </row>
    <row r="866" spans="2:12" x14ac:dyDescent="0.35">
      <c r="B866" s="5" t="str">
        <f t="shared" si="553"/>
        <v>SPS3</v>
      </c>
      <c r="C866" s="5" t="str">
        <f t="shared" si="568"/>
        <v>CH</v>
      </c>
      <c r="D866" t="s">
        <v>2080</v>
      </c>
      <c r="E866" t="s">
        <v>240</v>
      </c>
      <c r="F866" s="4">
        <f t="shared" ref="F866:K874" si="575">IFERROR(F833/F792,"-")</f>
        <v>1.2048882618498444</v>
      </c>
      <c r="G866" s="4">
        <f t="shared" si="575"/>
        <v>1.0946586519761894</v>
      </c>
      <c r="H866" s="4">
        <f t="shared" si="575"/>
        <v>0.93681020134612802</v>
      </c>
      <c r="I866" s="4">
        <f t="shared" si="575"/>
        <v>0.93604992155869882</v>
      </c>
      <c r="J866" s="4">
        <f t="shared" si="575"/>
        <v>0.94419808011389861</v>
      </c>
      <c r="K866" s="4">
        <f t="shared" si="575"/>
        <v>0.94627130185679875</v>
      </c>
    </row>
    <row r="867" spans="2:12" x14ac:dyDescent="0.35">
      <c r="B867" s="5" t="str">
        <f t="shared" si="553"/>
        <v>SPS3</v>
      </c>
      <c r="C867" s="5" t="str">
        <f t="shared" si="568"/>
        <v>CH</v>
      </c>
      <c r="D867" t="s">
        <v>2081</v>
      </c>
      <c r="E867" t="s">
        <v>240</v>
      </c>
      <c r="F867" s="4" t="str">
        <f t="shared" si="575"/>
        <v>-</v>
      </c>
      <c r="G867" s="4" t="str">
        <f t="shared" si="575"/>
        <v>-</v>
      </c>
      <c r="H867" s="4" t="str">
        <f t="shared" si="575"/>
        <v>-</v>
      </c>
      <c r="I867" s="4" t="str">
        <f t="shared" si="575"/>
        <v>-</v>
      </c>
      <c r="J867" s="4">
        <f t="shared" si="575"/>
        <v>0.94419808011389861</v>
      </c>
      <c r="K867" s="4">
        <f t="shared" si="575"/>
        <v>0.94627130185679853</v>
      </c>
    </row>
    <row r="868" spans="2:12" x14ac:dyDescent="0.35">
      <c r="B868" s="5" t="str">
        <f t="shared" si="553"/>
        <v>SPS3</v>
      </c>
      <c r="C868" s="5" t="str">
        <f t="shared" si="568"/>
        <v>CH</v>
      </c>
      <c r="D868" t="s">
        <v>2082</v>
      </c>
      <c r="E868" t="s">
        <v>240</v>
      </c>
      <c r="F868" s="4" t="str">
        <f t="shared" si="575"/>
        <v>-</v>
      </c>
      <c r="G868" s="4" t="str">
        <f t="shared" si="575"/>
        <v>-</v>
      </c>
      <c r="H868" s="4" t="str">
        <f t="shared" si="575"/>
        <v>-</v>
      </c>
      <c r="I868" s="4" t="str">
        <f t="shared" si="575"/>
        <v>-</v>
      </c>
      <c r="J868" s="4">
        <f t="shared" si="575"/>
        <v>0.94419808011389861</v>
      </c>
      <c r="K868" s="4">
        <f t="shared" si="575"/>
        <v>0.94627130185679864</v>
      </c>
    </row>
    <row r="869" spans="2:12" x14ac:dyDescent="0.35">
      <c r="B869" s="5" t="str">
        <f t="shared" si="553"/>
        <v>SPS3</v>
      </c>
      <c r="C869" s="5" t="str">
        <f t="shared" si="568"/>
        <v>CH</v>
      </c>
      <c r="D869" t="s">
        <v>2083</v>
      </c>
      <c r="E869" t="s">
        <v>240</v>
      </c>
      <c r="F869" s="4">
        <f t="shared" si="575"/>
        <v>1.2048882618498444</v>
      </c>
      <c r="G869" s="4">
        <f t="shared" si="575"/>
        <v>1.0946586519761892</v>
      </c>
      <c r="H869" s="4">
        <f t="shared" si="575"/>
        <v>0.93681020134612802</v>
      </c>
      <c r="I869" s="4">
        <f t="shared" si="575"/>
        <v>0.93604992155869893</v>
      </c>
      <c r="J869" s="4">
        <f t="shared" si="575"/>
        <v>0.94419808011389861</v>
      </c>
      <c r="K869" s="4">
        <f t="shared" si="575"/>
        <v>0.94627130185679875</v>
      </c>
    </row>
    <row r="870" spans="2:12" x14ac:dyDescent="0.35">
      <c r="B870" s="5" t="str">
        <f t="shared" si="553"/>
        <v>SPS3</v>
      </c>
      <c r="C870" s="5" t="str">
        <f t="shared" si="568"/>
        <v>CH</v>
      </c>
      <c r="D870" t="s">
        <v>2084</v>
      </c>
      <c r="E870" t="s">
        <v>240</v>
      </c>
      <c r="F870" s="4" t="str">
        <f t="shared" si="575"/>
        <v>-</v>
      </c>
      <c r="G870" s="4" t="str">
        <f t="shared" si="575"/>
        <v>-</v>
      </c>
      <c r="H870" s="4" t="str">
        <f t="shared" si="575"/>
        <v>-</v>
      </c>
      <c r="I870" s="4" t="str">
        <f t="shared" si="575"/>
        <v>-</v>
      </c>
      <c r="J870" s="4">
        <f t="shared" si="575"/>
        <v>0.94419808011389861</v>
      </c>
      <c r="K870" s="4">
        <f t="shared" si="575"/>
        <v>0.94627130185679864</v>
      </c>
    </row>
    <row r="871" spans="2:12" x14ac:dyDescent="0.35">
      <c r="B871" s="5" t="str">
        <f t="shared" si="553"/>
        <v>SPS3</v>
      </c>
      <c r="C871" s="5" t="str">
        <f t="shared" si="568"/>
        <v>CH</v>
      </c>
      <c r="D871" t="s">
        <v>2085</v>
      </c>
      <c r="E871" t="s">
        <v>240</v>
      </c>
      <c r="F871" s="4">
        <f t="shared" si="575"/>
        <v>1.2048882618498444</v>
      </c>
      <c r="G871" s="4">
        <f t="shared" si="575"/>
        <v>1.0946586519761894</v>
      </c>
      <c r="H871" s="4">
        <f t="shared" si="575"/>
        <v>0.93681020134612814</v>
      </c>
      <c r="I871" s="4">
        <f t="shared" si="575"/>
        <v>0.93604992155869882</v>
      </c>
      <c r="J871" s="4">
        <f t="shared" si="575"/>
        <v>0.9441980801138985</v>
      </c>
      <c r="K871" s="4">
        <f t="shared" si="575"/>
        <v>0.94627130185679864</v>
      </c>
    </row>
    <row r="872" spans="2:12" x14ac:dyDescent="0.35">
      <c r="B872" s="5" t="str">
        <f t="shared" si="553"/>
        <v>SPS3</v>
      </c>
      <c r="C872" s="5" t="str">
        <f t="shared" si="568"/>
        <v>CH</v>
      </c>
      <c r="D872" t="s">
        <v>2086</v>
      </c>
      <c r="E872" t="s">
        <v>240</v>
      </c>
      <c r="F872" s="4" t="str">
        <f t="shared" si="575"/>
        <v>-</v>
      </c>
      <c r="G872" s="4" t="str">
        <f t="shared" si="575"/>
        <v>-</v>
      </c>
      <c r="H872" s="4" t="str">
        <f t="shared" si="575"/>
        <v>-</v>
      </c>
      <c r="I872" s="4" t="str">
        <f t="shared" si="575"/>
        <v>-</v>
      </c>
      <c r="J872" s="4">
        <f t="shared" si="575"/>
        <v>0.94419808011389861</v>
      </c>
      <c r="K872" s="4">
        <f t="shared" si="575"/>
        <v>0.94627130185679864</v>
      </c>
    </row>
    <row r="873" spans="2:12" x14ac:dyDescent="0.35">
      <c r="B873" s="5" t="str">
        <f t="shared" si="553"/>
        <v>SPS3</v>
      </c>
      <c r="C873" s="5" t="str">
        <f t="shared" si="568"/>
        <v>CH</v>
      </c>
      <c r="D873" t="s">
        <v>2087</v>
      </c>
      <c r="E873" t="s">
        <v>240</v>
      </c>
      <c r="F873" s="4" t="str">
        <f t="shared" si="575"/>
        <v>-</v>
      </c>
      <c r="G873" s="4" t="str">
        <f t="shared" si="575"/>
        <v>-</v>
      </c>
      <c r="H873" s="4" t="str">
        <f t="shared" si="575"/>
        <v>-</v>
      </c>
      <c r="I873" s="4" t="str">
        <f t="shared" si="575"/>
        <v>-</v>
      </c>
      <c r="J873" s="4">
        <f t="shared" si="575"/>
        <v>0.94419808011389861</v>
      </c>
      <c r="K873" s="4">
        <f t="shared" si="575"/>
        <v>0.94627130185679875</v>
      </c>
    </row>
    <row r="874" spans="2:12" x14ac:dyDescent="0.35">
      <c r="B874" s="5" t="str">
        <f t="shared" si="553"/>
        <v>SPS3</v>
      </c>
      <c r="C874" s="5" t="str">
        <f t="shared" si="568"/>
        <v>CH</v>
      </c>
      <c r="D874" t="s">
        <v>2088</v>
      </c>
      <c r="E874" t="s">
        <v>240</v>
      </c>
      <c r="F874" s="4">
        <f t="shared" si="575"/>
        <v>0.92447626236575009</v>
      </c>
      <c r="G874" s="4">
        <f t="shared" si="575"/>
        <v>0.92645636412827348</v>
      </c>
      <c r="H874" s="4">
        <f t="shared" si="575"/>
        <v>0.92942651677205457</v>
      </c>
      <c r="I874" s="4">
        <f t="shared" si="575"/>
        <v>0.93437677117835849</v>
      </c>
      <c r="J874" s="4">
        <f t="shared" si="575"/>
        <v>0.94427727999096511</v>
      </c>
      <c r="K874" s="4">
        <f>IFERROR(K841/K800,"-")</f>
        <v>0.95000000000000007</v>
      </c>
    </row>
    <row r="875" spans="2:12" x14ac:dyDescent="0.35">
      <c r="B875" s="5" t="str">
        <f t="shared" si="553"/>
        <v>SPS3</v>
      </c>
      <c r="C875" s="5" t="str">
        <f t="shared" si="568"/>
        <v>CH</v>
      </c>
      <c r="D875" t="s">
        <v>2089</v>
      </c>
      <c r="E875" t="s">
        <v>240</v>
      </c>
      <c r="F875" s="4">
        <f>IFERROR(F843/F802,"-")</f>
        <v>0.59000000000000019</v>
      </c>
      <c r="G875" s="4">
        <f t="shared" ref="G875:K875" si="576">IFERROR(G843/G802,"-")</f>
        <v>0.59066666666666656</v>
      </c>
      <c r="H875" s="4">
        <f t="shared" si="576"/>
        <v>0.59166666666666645</v>
      </c>
      <c r="I875" s="4">
        <f t="shared" si="576"/>
        <v>0.59333333333333382</v>
      </c>
      <c r="J875" s="4">
        <f t="shared" si="576"/>
        <v>0.59666666666666646</v>
      </c>
      <c r="K875" s="4">
        <f t="shared" si="576"/>
        <v>0.60000000000000087</v>
      </c>
    </row>
    <row r="876" spans="2:12" x14ac:dyDescent="0.35">
      <c r="B876" s="5" t="str">
        <f t="shared" si="553"/>
        <v>SPS3</v>
      </c>
      <c r="C876" s="5" t="str">
        <f t="shared" si="568"/>
        <v>CH</v>
      </c>
      <c r="D876" t="s">
        <v>2090</v>
      </c>
      <c r="E876" t="s">
        <v>240</v>
      </c>
      <c r="F876" s="4">
        <f>IFERROR(F845/F804,"-")</f>
        <v>0.73749999999999993</v>
      </c>
      <c r="G876" s="4">
        <f t="shared" ref="G876:K876" si="577">IFERROR(G845/G804,"-")</f>
        <v>0.73833333333333395</v>
      </c>
      <c r="H876" s="4">
        <f t="shared" si="577"/>
        <v>0.73958333333333282</v>
      </c>
      <c r="I876" s="4">
        <f t="shared" si="577"/>
        <v>0.74166666666666747</v>
      </c>
      <c r="J876" s="4">
        <f t="shared" si="577"/>
        <v>0.74583333333333368</v>
      </c>
      <c r="K876" s="4">
        <f t="shared" si="577"/>
        <v>0.75000000000000044</v>
      </c>
    </row>
    <row r="877" spans="2:12" x14ac:dyDescent="0.35">
      <c r="B877" s="5" t="str">
        <f t="shared" si="553"/>
        <v>SPS3</v>
      </c>
      <c r="C877" s="5" t="str">
        <f t="shared" si="568"/>
        <v>CH</v>
      </c>
      <c r="D877" t="s">
        <v>2091</v>
      </c>
      <c r="E877" t="s">
        <v>240</v>
      </c>
      <c r="F877" s="4">
        <f>IFERROR(F847/F806,"-")</f>
        <v>0.5279999999999998</v>
      </c>
      <c r="G877" s="4">
        <f t="shared" ref="G877:K877" si="578">IFERROR(G847/G806,"-")</f>
        <v>0.52799999999999991</v>
      </c>
      <c r="H877" s="4">
        <f t="shared" si="578"/>
        <v>0.52800000000000002</v>
      </c>
      <c r="I877" s="4">
        <f t="shared" si="578"/>
        <v>0.52799999999999947</v>
      </c>
      <c r="J877" s="4">
        <f t="shared" si="578"/>
        <v>0.52799999999999991</v>
      </c>
      <c r="K877" s="4">
        <f t="shared" si="578"/>
        <v>0.54400000000000037</v>
      </c>
    </row>
    <row r="878" spans="2:12" x14ac:dyDescent="0.35">
      <c r="B878" s="5" t="str">
        <f t="shared" si="553"/>
        <v>SPS3</v>
      </c>
      <c r="C878" s="5" t="str">
        <f t="shared" si="568"/>
        <v>CH</v>
      </c>
      <c r="D878" t="s">
        <v>2092</v>
      </c>
      <c r="E878" t="s">
        <v>240</v>
      </c>
      <c r="F878" s="4">
        <f>IFERROR(F849/F810,"-")</f>
        <v>1</v>
      </c>
      <c r="G878" s="4">
        <f t="shared" ref="G878:K878" si="579">IFERROR(G849/G810,"-")</f>
        <v>1</v>
      </c>
      <c r="H878" s="4">
        <f t="shared" si="579"/>
        <v>1</v>
      </c>
      <c r="I878" s="4">
        <f t="shared" si="579"/>
        <v>1</v>
      </c>
      <c r="J878" s="4">
        <f t="shared" si="579"/>
        <v>1</v>
      </c>
      <c r="K878" s="4">
        <f t="shared" si="579"/>
        <v>1</v>
      </c>
    </row>
    <row r="879" spans="2:12" x14ac:dyDescent="0.35">
      <c r="B879" s="5" t="str">
        <f t="shared" si="553"/>
        <v>SPS3</v>
      </c>
      <c r="C879" s="5" t="str">
        <f t="shared" si="568"/>
        <v>CH</v>
      </c>
      <c r="D879" t="s">
        <v>2093</v>
      </c>
      <c r="E879" t="s">
        <v>240</v>
      </c>
      <c r="F879" s="4" t="str">
        <f>IFERROR(F851/F812,"-")</f>
        <v>-</v>
      </c>
      <c r="G879" s="4" t="str">
        <f t="shared" ref="G879:K879" si="580">IFERROR(G851/G812,"-")</f>
        <v>-</v>
      </c>
      <c r="H879" s="4" t="str">
        <f t="shared" si="580"/>
        <v>-</v>
      </c>
      <c r="I879" s="4" t="str">
        <f t="shared" si="580"/>
        <v>-</v>
      </c>
      <c r="J879" s="4">
        <f t="shared" si="580"/>
        <v>0.68780198975637774</v>
      </c>
      <c r="K879" s="4">
        <f t="shared" si="580"/>
        <v>0.78876562697060548</v>
      </c>
    </row>
    <row r="880" spans="2:12" x14ac:dyDescent="0.35">
      <c r="B880" s="9" t="str">
        <f t="shared" si="553"/>
        <v>SPS3</v>
      </c>
      <c r="C880" s="9" t="str">
        <f>C814</f>
        <v>CH</v>
      </c>
      <c r="D880" s="2" t="s">
        <v>674</v>
      </c>
      <c r="E880" s="9" t="s">
        <v>8</v>
      </c>
      <c r="F880" s="17">
        <f t="shared" ref="F880:K880" si="581">F881+F885+F892+F903+F911+F913+F915+F917+F921</f>
        <v>140.10135104556244</v>
      </c>
      <c r="G880" s="17">
        <f t="shared" si="581"/>
        <v>137.10244044957781</v>
      </c>
      <c r="H880" s="17">
        <f t="shared" si="581"/>
        <v>132.25032810184419</v>
      </c>
      <c r="I880" s="17">
        <f t="shared" si="581"/>
        <v>118.32714440784177</v>
      </c>
      <c r="J880" s="17">
        <f t="shared" si="581"/>
        <v>98.757696898811474</v>
      </c>
      <c r="K880" s="17">
        <f t="shared" si="581"/>
        <v>81.989097579904552</v>
      </c>
      <c r="L880" s="17"/>
    </row>
    <row r="881" spans="2:12" x14ac:dyDescent="0.35">
      <c r="B881" s="5" t="str">
        <f t="shared" si="553"/>
        <v>SPS3</v>
      </c>
      <c r="C881" s="5" t="str">
        <f>C880</f>
        <v>CH</v>
      </c>
      <c r="D881" t="s">
        <v>963</v>
      </c>
      <c r="E881" t="s">
        <v>8</v>
      </c>
      <c r="F881" s="1">
        <f>[1]Services!B$11</f>
        <v>60.950102394846873</v>
      </c>
      <c r="G881" s="1">
        <f>[1]Services!C$11</f>
        <v>60.772389041504702</v>
      </c>
      <c r="H881" s="1">
        <f>[1]Services!D$11</f>
        <v>61.785155995381203</v>
      </c>
      <c r="I881" s="1">
        <f>[1]Services!E$11</f>
        <v>59.347803089609201</v>
      </c>
      <c r="J881" s="1">
        <f>[1]Services!F$11</f>
        <v>54.765824409488985</v>
      </c>
      <c r="K881" s="1">
        <f>[1]Services!G$11</f>
        <v>47.456833681702022</v>
      </c>
    </row>
    <row r="882" spans="2:12" x14ac:dyDescent="0.35">
      <c r="B882" s="5" t="str">
        <f t="shared" si="553"/>
        <v>SPS3</v>
      </c>
      <c r="C882" s="5" t="str">
        <f>C881</f>
        <v>CH</v>
      </c>
      <c r="D882" t="s">
        <v>759</v>
      </c>
      <c r="E882" t="s">
        <v>8</v>
      </c>
      <c r="F882" s="1" cm="1">
        <f t="array" ref="F882">SUMPRODUCT(([1]OUT_FinalEnergyCons!$B$4:$B$10000="Var_Fin")*1, ISNUMBER(SEARCH("SCOM_ELC",[1]OUT_FinalEnergyCons!$C$4:$C$10000))*1, (ISNUMBER(SEARCH("SCOM-SHELCBR",[1]OUT_FinalEnergyCons!$A$4:$A$10000)))*1,[1]OUT_FinalEnergyCons!D$4:D$10000)</f>
        <v>2.6236666497014869</v>
      </c>
      <c r="G882" s="1" cm="1">
        <f t="array" ref="G882">SUMPRODUCT(([1]OUT_FinalEnergyCons!$B$4:$B$10000="Var_Fin")*1, ISNUMBER(SEARCH("SCOM_ELC",[1]OUT_FinalEnergyCons!$C$4:$C$10000))*1, (ISNUMBER(SEARCH("SCOM-SHELCBR",[1]OUT_FinalEnergyCons!$A$4:$A$10000)))*1,[1]OUT_FinalEnergyCons!E$4:E$10000)</f>
        <v>0.64527457412143874</v>
      </c>
      <c r="H882" s="1" cm="1">
        <f t="array" ref="H882">SUMPRODUCT(([1]OUT_FinalEnergyCons!$B$4:$B$10000="Var_Fin")*1, ISNUMBER(SEARCH("SCOM_ELC",[1]OUT_FinalEnergyCons!$C$4:$C$10000))*1, (ISNUMBER(SEARCH("SCOM-SHELCBR",[1]OUT_FinalEnergyCons!$A$4:$A$10000)))*1,[1]OUT_FinalEnergyCons!F$4:F$10000)</f>
        <v>1.0904995696483155</v>
      </c>
      <c r="I882" s="1" cm="1">
        <f t="array" ref="I882">SUMPRODUCT(([1]OUT_FinalEnergyCons!$B$4:$B$10000="Var_Fin")*1, ISNUMBER(SEARCH("SCOM_ELC",[1]OUT_FinalEnergyCons!$C$4:$C$10000))*1, (ISNUMBER(SEARCH("SCOM-SHELCBR",[1]OUT_FinalEnergyCons!$A$4:$A$10000)))*1,[1]OUT_FinalEnergyCons!G$4:G$10000)</f>
        <v>0.59123114852707181</v>
      </c>
      <c r="J882" s="1" cm="1">
        <f t="array" ref="J882">SUMPRODUCT(([1]OUT_FinalEnergyCons!$B$4:$B$10000="Var_Fin")*1, ISNUMBER(SEARCH("SCOM_ELC",[1]OUT_FinalEnergyCons!$C$4:$C$10000))*1, (ISNUMBER(SEARCH("SCOM-SHELCBR",[1]OUT_FinalEnergyCons!$A$4:$A$10000)))*1,[1]OUT_FinalEnergyCons!H$4:H$10000)</f>
        <v>0.39262103869407339</v>
      </c>
      <c r="K882" s="1" cm="1">
        <f t="array" ref="K882">SUMPRODUCT(([1]OUT_FinalEnergyCons!$B$4:$B$10000="Var_Fin")*1, ISNUMBER(SEARCH("SCOM_ELC",[1]OUT_FinalEnergyCons!$C$4:$C$10000))*1, (ISNUMBER(SEARCH("SCOM-SHELCBR",[1]OUT_FinalEnergyCons!$A$4:$A$10000)))*1,[1]OUT_FinalEnergyCons!I$4:I$10000)</f>
        <v>0.25729512627090445</v>
      </c>
    </row>
    <row r="883" spans="2:12" x14ac:dyDescent="0.35">
      <c r="B883" s="5" t="str">
        <f t="shared" si="553"/>
        <v>SPS3</v>
      </c>
      <c r="C883" s="5" t="str">
        <f t="shared" ref="C883:C922" si="582">C882</f>
        <v>CH</v>
      </c>
      <c r="D883" t="s">
        <v>725</v>
      </c>
      <c r="E883" t="s">
        <v>8</v>
      </c>
      <c r="F883" s="1" cm="1">
        <f t="array" ref="F883">SUMPRODUCT(([1]OUT_FinalEnergyCons!$B$4:$B$10000="Var_Fin")*1, ISNUMBER(SEARCH("SCOM_ELC",[1]OUT_FinalEnergyCons!$C$4:$C$10000))*1,(ISNUMBER(SEARCH("SCOM-SHELCHP",[1]OUT_FinalEnergyCons!$A$4:$A$10000)))*1,[1]OUT_FinalEnergyCons!D$4:D$10000)</f>
        <v>1.3316611702329448</v>
      </c>
      <c r="G883" s="1" cm="1">
        <f t="array" ref="G883">SUMPRODUCT(([1]OUT_FinalEnergyCons!$B$4:$B$10000="Var_Fin")*1, ISNUMBER(SEARCH("SCOM_ELC",[1]OUT_FinalEnergyCons!$C$4:$C$10000))*1,(ISNUMBER(SEARCH("SCOM-SHELCHP",[1]OUT_FinalEnergyCons!$A$4:$A$10000)))*1,[1]OUT_FinalEnergyCons!E$4:E$10000)</f>
        <v>1.4252141770251627</v>
      </c>
      <c r="H883" s="1" cm="1">
        <f t="array" ref="H883">SUMPRODUCT(([1]OUT_FinalEnergyCons!$B$4:$B$10000="Var_Fin")*1, ISNUMBER(SEARCH("SCOM_ELC",[1]OUT_FinalEnergyCons!$C$4:$C$10000))*1,(ISNUMBER(SEARCH("SCOM-SHELCHP",[1]OUT_FinalEnergyCons!$A$4:$A$10000)))*1,[1]OUT_FinalEnergyCons!F$4:F$10000)</f>
        <v>2.1797917083524938</v>
      </c>
      <c r="I883" s="1" cm="1">
        <f t="array" ref="I883">SUMPRODUCT(([1]OUT_FinalEnergyCons!$B$4:$B$10000="Var_Fin")*1, ISNUMBER(SEARCH("SCOM_ELC",[1]OUT_FinalEnergyCons!$C$4:$C$10000))*1,(ISNUMBER(SEARCH("SCOM-SHELCHP",[1]OUT_FinalEnergyCons!$A$4:$A$10000)))*1,[1]OUT_FinalEnergyCons!G$4:G$10000)</f>
        <v>4.3016091407014319</v>
      </c>
      <c r="J883" s="1" cm="1">
        <f t="array" ref="J883">SUMPRODUCT(([1]OUT_FinalEnergyCons!$B$4:$B$10000="Var_Fin")*1, ISNUMBER(SEARCH("SCOM_ELC",[1]OUT_FinalEnergyCons!$C$4:$C$10000))*1,(ISNUMBER(SEARCH("SCOM-SHELCHP",[1]OUT_FinalEnergyCons!$A$4:$A$10000)))*1,[1]OUT_FinalEnergyCons!H$4:H$10000)</f>
        <v>6.8205633973561861</v>
      </c>
      <c r="K883" s="1" cm="1">
        <f t="array" ref="K883">SUMPRODUCT(([1]OUT_FinalEnergyCons!$B$4:$B$10000="Var_Fin")*1, ISNUMBER(SEARCH("SCOM_ELC",[1]OUT_FinalEnergyCons!$C$4:$C$10000))*1,(ISNUMBER(SEARCH("SCOM-SHELCHP",[1]OUT_FinalEnergyCons!$A$4:$A$10000)))*1,[1]OUT_FinalEnergyCons!I$4:I$10000)</f>
        <v>6.2762931996294036</v>
      </c>
    </row>
    <row r="884" spans="2:12" x14ac:dyDescent="0.35">
      <c r="B884" s="5" t="str">
        <f t="shared" ref="B884:B947" si="583">B883</f>
        <v>SPS3</v>
      </c>
      <c r="C884" s="5" t="str">
        <f t="shared" si="582"/>
        <v>CH</v>
      </c>
      <c r="D884" t="s">
        <v>508</v>
      </c>
      <c r="E884" t="s">
        <v>8</v>
      </c>
      <c r="F884" s="1">
        <f>[1]Services!B$11-[1]Services!B$28</f>
        <v>56.994774574912441</v>
      </c>
      <c r="G884" s="1">
        <f>[1]Services!C$11-[1]Services!C$28</f>
        <v>58.701900290358104</v>
      </c>
      <c r="H884" s="1">
        <f>[1]Services!D$11-[1]Services!D$28</f>
        <v>58.514864717380391</v>
      </c>
      <c r="I884" s="1">
        <f>[1]Services!E$11-[1]Services!E$28</f>
        <v>54.454962800380699</v>
      </c>
      <c r="J884" s="1">
        <f>[1]Services!F$11-[1]Services!F$28</f>
        <v>47.55263997343873</v>
      </c>
      <c r="K884" s="1">
        <f>[1]Services!G$11-[1]Services!G$28</f>
        <v>40.923245355801711</v>
      </c>
    </row>
    <row r="885" spans="2:12" x14ac:dyDescent="0.35">
      <c r="B885" s="5" t="str">
        <f t="shared" si="583"/>
        <v>SPS3</v>
      </c>
      <c r="C885" s="5" t="str">
        <f t="shared" si="582"/>
        <v>CH</v>
      </c>
      <c r="D885" t="s">
        <v>499</v>
      </c>
      <c r="E885" t="s">
        <v>8</v>
      </c>
      <c r="F885" s="1">
        <f>F886</f>
        <v>30.256640504322231</v>
      </c>
      <c r="G885" s="1">
        <f t="shared" ref="G885:K885" si="584">G886</f>
        <v>23.4115786430492</v>
      </c>
      <c r="H885" s="1">
        <f t="shared" si="584"/>
        <v>25.200889123343046</v>
      </c>
      <c r="I885" s="1">
        <f t="shared" si="584"/>
        <v>12.607443887257443</v>
      </c>
      <c r="J885" s="1">
        <f t="shared" si="584"/>
        <v>2.4859322538251223</v>
      </c>
      <c r="K885" s="1">
        <f t="shared" si="584"/>
        <v>6.9801659956082604E-2</v>
      </c>
      <c r="L885" s="1"/>
    </row>
    <row r="886" spans="2:12" x14ac:dyDescent="0.35">
      <c r="B886" s="5" t="str">
        <f t="shared" si="583"/>
        <v>SPS3</v>
      </c>
      <c r="C886" s="5" t="str">
        <f t="shared" si="582"/>
        <v>CH</v>
      </c>
      <c r="D886" t="s">
        <v>500</v>
      </c>
      <c r="E886" t="s">
        <v>8</v>
      </c>
      <c r="F886" s="1">
        <f>SUM(F889,F891)</f>
        <v>30.256640504322231</v>
      </c>
      <c r="G886" s="1">
        <f t="shared" ref="G886:K886" si="585">SUM(G889,G891)</f>
        <v>23.4115786430492</v>
      </c>
      <c r="H886" s="1">
        <f t="shared" si="585"/>
        <v>25.200889123343046</v>
      </c>
      <c r="I886" s="1">
        <f t="shared" si="585"/>
        <v>12.607443887257443</v>
      </c>
      <c r="J886" s="1">
        <f t="shared" si="585"/>
        <v>2.4859322538251223</v>
      </c>
      <c r="K886" s="1">
        <f t="shared" si="585"/>
        <v>6.9801659956082604E-2</v>
      </c>
    </row>
    <row r="887" spans="2:12" x14ac:dyDescent="0.35">
      <c r="B887" s="5" t="str">
        <f t="shared" si="583"/>
        <v>SPS3</v>
      </c>
      <c r="C887" s="5" t="str">
        <f>C886</f>
        <v>CH</v>
      </c>
      <c r="D887" t="s">
        <v>964</v>
      </c>
      <c r="E887" t="s">
        <v>8</v>
      </c>
      <c r="F887" s="1">
        <f>F888</f>
        <v>30.256640504322231</v>
      </c>
      <c r="G887" s="1">
        <f t="shared" ref="G887:K887" si="586">G888</f>
        <v>23.4115786430492</v>
      </c>
      <c r="H887" s="1">
        <f t="shared" si="586"/>
        <v>25.200765347526065</v>
      </c>
      <c r="I887" s="1">
        <f t="shared" si="586"/>
        <v>12.606506173861545</v>
      </c>
      <c r="J887" s="1">
        <f t="shared" si="586"/>
        <v>2.4850446970705522</v>
      </c>
      <c r="K887" s="1">
        <f t="shared" si="586"/>
        <v>4.3048926544186439E-5</v>
      </c>
    </row>
    <row r="888" spans="2:12" x14ac:dyDescent="0.35">
      <c r="B888" s="5" t="str">
        <f t="shared" si="583"/>
        <v>SPS3</v>
      </c>
      <c r="C888" s="5" t="str">
        <f t="shared" si="582"/>
        <v>CH</v>
      </c>
      <c r="D888" t="s">
        <v>528</v>
      </c>
      <c r="E888" t="s">
        <v>8</v>
      </c>
      <c r="F888" s="1">
        <f>[1]Services!B$12</f>
        <v>30.256640504322231</v>
      </c>
      <c r="G888" s="1">
        <f>[1]Services!C$12</f>
        <v>23.4115786430492</v>
      </c>
      <c r="H888" s="1">
        <f>[1]Services!D$12</f>
        <v>25.200765347526065</v>
      </c>
      <c r="I888" s="1">
        <f>[1]Services!E$12</f>
        <v>12.606506173861545</v>
      </c>
      <c r="J888" s="1">
        <f>[1]Services!F$12</f>
        <v>2.4850446970705522</v>
      </c>
      <c r="K888" s="1">
        <f>[1]Services!G$12</f>
        <v>4.3048926544186439E-5</v>
      </c>
    </row>
    <row r="889" spans="2:12" x14ac:dyDescent="0.35">
      <c r="B889" s="5" t="str">
        <f t="shared" si="583"/>
        <v>SPS3</v>
      </c>
      <c r="C889" s="5" t="str">
        <f t="shared" si="582"/>
        <v>CH</v>
      </c>
      <c r="D889" t="s">
        <v>529</v>
      </c>
      <c r="E889" t="s">
        <v>8</v>
      </c>
      <c r="F889" s="1">
        <f>F888</f>
        <v>30.256640504322231</v>
      </c>
      <c r="G889" s="1">
        <f t="shared" ref="G889:K889" si="587">G888</f>
        <v>23.4115786430492</v>
      </c>
      <c r="H889" s="1">
        <f t="shared" si="587"/>
        <v>25.200765347526065</v>
      </c>
      <c r="I889" s="1">
        <f t="shared" si="587"/>
        <v>12.606506173861545</v>
      </c>
      <c r="J889" s="1">
        <f t="shared" si="587"/>
        <v>2.4850446970705522</v>
      </c>
      <c r="K889" s="1">
        <f t="shared" si="587"/>
        <v>4.3048926544186439E-5</v>
      </c>
    </row>
    <row r="890" spans="2:12" x14ac:dyDescent="0.35">
      <c r="B890" s="5" t="str">
        <f t="shared" si="583"/>
        <v>SPS3</v>
      </c>
      <c r="C890" s="5" t="str">
        <f>C889</f>
        <v>CH</v>
      </c>
      <c r="D890" t="s">
        <v>965</v>
      </c>
      <c r="E890" t="s">
        <v>8</v>
      </c>
      <c r="F890">
        <f>F891</f>
        <v>0</v>
      </c>
      <c r="G890">
        <f t="shared" ref="G890:K890" si="588">G891</f>
        <v>0</v>
      </c>
      <c r="H890">
        <f t="shared" si="588"/>
        <v>1.237758169815101E-4</v>
      </c>
      <c r="I890">
        <f t="shared" si="588"/>
        <v>9.3771339589716462E-4</v>
      </c>
      <c r="J890">
        <f t="shared" si="588"/>
        <v>8.8755675456996148E-4</v>
      </c>
      <c r="K890">
        <f t="shared" si="588"/>
        <v>6.9758611029538412E-2</v>
      </c>
    </row>
    <row r="891" spans="2:12" x14ac:dyDescent="0.35">
      <c r="B891" s="5" t="str">
        <f t="shared" si="583"/>
        <v>SPS3</v>
      </c>
      <c r="C891" s="5" t="str">
        <f t="shared" si="582"/>
        <v>CH</v>
      </c>
      <c r="D891" t="s">
        <v>966</v>
      </c>
      <c r="E891" t="s">
        <v>8</v>
      </c>
      <c r="F891">
        <f>[1]Services!B$13</f>
        <v>0</v>
      </c>
      <c r="G891">
        <f>[1]Services!C$13</f>
        <v>0</v>
      </c>
      <c r="H891">
        <f>[1]Services!D$13</f>
        <v>1.237758169815101E-4</v>
      </c>
      <c r="I891">
        <f>[1]Services!E$13</f>
        <v>9.3771339589716462E-4</v>
      </c>
      <c r="J891">
        <f>[1]Services!F$13</f>
        <v>8.8755675456996148E-4</v>
      </c>
      <c r="K891">
        <f>[1]Services!G$13</f>
        <v>6.9758611029538412E-2</v>
      </c>
    </row>
    <row r="892" spans="2:12" x14ac:dyDescent="0.35">
      <c r="B892" s="5" t="str">
        <f t="shared" si="583"/>
        <v>SPS3</v>
      </c>
      <c r="C892" s="5" t="str">
        <f t="shared" si="582"/>
        <v>CH</v>
      </c>
      <c r="D892" t="s">
        <v>501</v>
      </c>
      <c r="E892" t="s">
        <v>8</v>
      </c>
      <c r="F892" s="1">
        <f>SUM(F893:F895)</f>
        <v>26.950991995705216</v>
      </c>
      <c r="G892" s="1">
        <f t="shared" ref="G892:K892" si="589">SUM(G893:G895)</f>
        <v>28.287038778658179</v>
      </c>
      <c r="H892" s="1">
        <f t="shared" si="589"/>
        <v>24.199524709955622</v>
      </c>
      <c r="I892" s="1">
        <f t="shared" si="589"/>
        <v>17.443168739064163</v>
      </c>
      <c r="J892" s="1">
        <f t="shared" si="589"/>
        <v>7.8147418404226698</v>
      </c>
      <c r="K892" s="1">
        <f t="shared" si="589"/>
        <v>4.9962578097515937</v>
      </c>
    </row>
    <row r="893" spans="2:12" x14ac:dyDescent="0.35">
      <c r="B893" s="5" t="str">
        <f t="shared" si="583"/>
        <v>SPS3</v>
      </c>
      <c r="C893" s="5" t="str">
        <f t="shared" si="582"/>
        <v>CH</v>
      </c>
      <c r="D893" t="s">
        <v>681</v>
      </c>
      <c r="E893" t="s">
        <v>8</v>
      </c>
      <c r="F893" s="1">
        <f>SUM([1]Services!B$14:B$15)-F894</f>
        <v>25.548698287169604</v>
      </c>
      <c r="G893" s="1">
        <f>SUM([1]Services!C$14:C$15)</f>
        <v>26.749794933520509</v>
      </c>
      <c r="H893" s="1">
        <f>SUM([1]Services!D$14:D$15)</f>
        <v>23.007802354149835</v>
      </c>
      <c r="I893" s="1">
        <f>SUM([1]Services!E$14:E$15)</f>
        <v>15.407630454175717</v>
      </c>
      <c r="J893" s="1">
        <f>SUM([1]Services!F$14:F$15)</f>
        <v>5.0394417829346771</v>
      </c>
      <c r="K893" s="1">
        <f>SUM([1]Services!G$14:G$15)</f>
        <v>2.9492355512332171</v>
      </c>
    </row>
    <row r="894" spans="2:12" x14ac:dyDescent="0.35">
      <c r="B894" s="5" t="str">
        <f t="shared" si="583"/>
        <v>SPS3</v>
      </c>
      <c r="C894" s="5" t="str">
        <f t="shared" ref="C894" si="590">C893</f>
        <v>CH</v>
      </c>
      <c r="D894" t="s">
        <v>726</v>
      </c>
      <c r="E894" t="s">
        <v>8</v>
      </c>
      <c r="F894" s="1" cm="1">
        <f t="array" ref="F894">SUMPRODUCT(([1]OUT_FinalEnergyCons!$B$4:$B$10000="Var_Fin")*1, ([1]OUT_FinalEnergyCons!$C$4:$C$10000="SNGA")*1,(ISNUMBER(SEARCH("SCOM-SHngahp",[1]OUT_FinalEnergyCons!$A$4:$A$10000)))*1,[1]OUT_FinalEnergyCons!D$4:D$10000)</f>
        <v>0</v>
      </c>
      <c r="G894" s="1" cm="1">
        <f t="array" ref="G894">SUMPRODUCT(([1]OUT_FinalEnergyCons!$B$4:$B$10000="Var_Fin")*1, ([1]OUT_FinalEnergyCons!$C$4:$C$10000="SNGA")*1,(ISNUMBER(SEARCH("SCOM-SHngahp",[1]OUT_FinalEnergyCons!$A$4:$A$10000)))*1,[1]OUT_FinalEnergyCons!E$4:E$10000)</f>
        <v>0</v>
      </c>
      <c r="H894" s="1" cm="1">
        <f t="array" ref="H894">SUMPRODUCT(([1]OUT_FinalEnergyCons!$B$4:$B$10000="Var_Fin")*1, ([1]OUT_FinalEnergyCons!$C$4:$C$10000="SNGA")*1,(ISNUMBER(SEARCH("SCOM-SHngahp",[1]OUT_FinalEnergyCons!$A$4:$A$10000)))*1,[1]OUT_FinalEnergyCons!F$4:F$10000)</f>
        <v>1.1917223558057886</v>
      </c>
      <c r="I894" s="1" cm="1">
        <f t="array" ref="I894">SUMPRODUCT(([1]OUT_FinalEnergyCons!$B$4:$B$10000="Var_Fin")*1, ([1]OUT_FinalEnergyCons!$C$4:$C$10000="SNGA")*1,(ISNUMBER(SEARCH("SCOM-SHngahp",[1]OUT_FinalEnergyCons!$A$4:$A$10000)))*1,[1]OUT_FinalEnergyCons!G$4:G$10000)</f>
        <v>2.0355382848884469</v>
      </c>
      <c r="J894" s="1" cm="1">
        <f t="array" ref="J894">SUMPRODUCT(([1]OUT_FinalEnergyCons!$B$4:$B$10000="Var_Fin")*1, ([1]OUT_FinalEnergyCons!$C$4:$C$10000="SNGA")*1,(ISNUMBER(SEARCH("SCOM-SHngahp",[1]OUT_FinalEnergyCons!$A$4:$A$10000)))*1,[1]OUT_FinalEnergyCons!H$4:H$10000)</f>
        <v>2.7753000574879927</v>
      </c>
      <c r="K894" s="1" cm="1">
        <f t="array" ref="K894">SUMPRODUCT(([1]OUT_FinalEnergyCons!$B$4:$B$10000="Var_Fin")*1, ([1]OUT_FinalEnergyCons!$C$4:$C$10000="SNGA")*1,(ISNUMBER(SEARCH("SCOM-SHngahp",[1]OUT_FinalEnergyCons!$A$4:$A$10000)))*1,[1]OUT_FinalEnergyCons!I$4:I$10000)</f>
        <v>2.0470222585183762</v>
      </c>
    </row>
    <row r="895" spans="2:12" x14ac:dyDescent="0.35">
      <c r="B895" s="5" t="str">
        <f t="shared" si="583"/>
        <v>SPS3</v>
      </c>
      <c r="C895" s="5" t="str">
        <f>C893</f>
        <v>CH</v>
      </c>
      <c r="D895" t="s">
        <v>502</v>
      </c>
      <c r="E895" t="s">
        <v>8</v>
      </c>
      <c r="F895" s="1">
        <f>[1]Services!B$16</f>
        <v>1.4022937085356122</v>
      </c>
      <c r="G895" s="1">
        <f>[1]Services!C$16</f>
        <v>1.5372438451376709</v>
      </c>
      <c r="H895" s="1">
        <f>[1]Services!D$16</f>
        <v>0</v>
      </c>
      <c r="I895" s="1">
        <f>[1]Services!E$16</f>
        <v>0</v>
      </c>
      <c r="J895" s="1">
        <f>[1]Services!F$16</f>
        <v>0</v>
      </c>
      <c r="K895" s="1">
        <f>[1]Services!G$16</f>
        <v>0</v>
      </c>
    </row>
    <row r="896" spans="2:12" x14ac:dyDescent="0.35">
      <c r="B896" s="5" t="str">
        <f t="shared" si="583"/>
        <v>SPS3</v>
      </c>
      <c r="C896" s="5" t="str">
        <f t="shared" si="582"/>
        <v>CH</v>
      </c>
      <c r="D896" t="s">
        <v>967</v>
      </c>
      <c r="E896" t="s">
        <v>8</v>
      </c>
      <c r="F896" s="1">
        <f>[1]Services!B$14</f>
        <v>25.261738105402948</v>
      </c>
      <c r="G896" s="1">
        <f>[1]Services!C$14</f>
        <v>24.933971650309065</v>
      </c>
      <c r="H896" s="1">
        <f>[1]Services!D$14</f>
        <v>22.800023062569679</v>
      </c>
      <c r="I896" s="1">
        <f>[1]Services!E$14</f>
        <v>15.406815648691028</v>
      </c>
      <c r="J896" s="1">
        <f>[1]Services!F$14</f>
        <v>3.6237190743070471</v>
      </c>
      <c r="K896" s="1">
        <f>[1]Services!G$14</f>
        <v>0.13890235490290673</v>
      </c>
    </row>
    <row r="897" spans="2:11" x14ac:dyDescent="0.35">
      <c r="B897" s="5" t="str">
        <f t="shared" si="583"/>
        <v>SPS3</v>
      </c>
      <c r="C897" s="5" t="str">
        <f t="shared" si="582"/>
        <v>CH</v>
      </c>
      <c r="D897" t="s">
        <v>682</v>
      </c>
      <c r="E897" t="s">
        <v>8</v>
      </c>
      <c r="F897" s="1">
        <f>[1]Services!B$14*IFERROR(F893/SUM(F893:F894),0)</f>
        <v>25.261738105402948</v>
      </c>
      <c r="G897" s="1">
        <f>[1]Services!C$14*IFERROR(G893/SUM(G893:G894),0)</f>
        <v>24.933971650309065</v>
      </c>
      <c r="H897" s="1">
        <f>[1]Services!D$14*IFERROR(H893/SUM(H893:H894),0)</f>
        <v>21.677220134734753</v>
      </c>
      <c r="I897" s="1">
        <f>[1]Services!E$14*IFERROR(I893/SUM(I893:I894),0)</f>
        <v>13.608910487635322</v>
      </c>
      <c r="J897" s="1">
        <f>[1]Services!F$14*IFERROR(J893/SUM(J893:J894),0)</f>
        <v>2.3368041690411885</v>
      </c>
      <c r="K897" s="1">
        <f>[1]Services!G$14*IFERROR(K893/SUM(K893:K894),0)</f>
        <v>8.1992518966917269E-2</v>
      </c>
    </row>
    <row r="898" spans="2:11" x14ac:dyDescent="0.35">
      <c r="B898" s="5" t="str">
        <f t="shared" si="583"/>
        <v>SPS3</v>
      </c>
      <c r="C898" s="5" t="str">
        <f t="shared" ref="C898" si="591">C897</f>
        <v>CH</v>
      </c>
      <c r="D898" t="s">
        <v>727</v>
      </c>
      <c r="E898" t="s">
        <v>8</v>
      </c>
      <c r="F898" s="1">
        <f>F896-F897</f>
        <v>0</v>
      </c>
      <c r="G898" s="1">
        <f t="shared" ref="G898:K898" si="592">G896-G897</f>
        <v>0</v>
      </c>
      <c r="H898" s="1">
        <f t="shared" si="592"/>
        <v>1.1228029278349254</v>
      </c>
      <c r="I898" s="1">
        <f t="shared" si="592"/>
        <v>1.7979051610557057</v>
      </c>
      <c r="J898" s="1">
        <f t="shared" si="592"/>
        <v>1.2869149052658586</v>
      </c>
      <c r="K898" s="1">
        <f t="shared" si="592"/>
        <v>5.6909835935989458E-2</v>
      </c>
    </row>
    <row r="899" spans="2:11" x14ac:dyDescent="0.35">
      <c r="B899" s="5" t="str">
        <f t="shared" si="583"/>
        <v>SPS3</v>
      </c>
      <c r="C899" s="5" t="str">
        <f>C897</f>
        <v>CH</v>
      </c>
      <c r="D899" t="s">
        <v>968</v>
      </c>
      <c r="E899" t="s">
        <v>8</v>
      </c>
      <c r="F899" s="1">
        <f>[1]Services!B$15+F902</f>
        <v>1.6892538903022665</v>
      </c>
      <c r="G899" s="1">
        <f>[1]Services!C$15+G902</f>
        <v>3.3530671283491147</v>
      </c>
      <c r="H899" s="1">
        <f>[1]Services!D$15+H902</f>
        <v>0.2077792915801564</v>
      </c>
      <c r="I899" s="1">
        <f>[1]Services!E$15+I902</f>
        <v>8.1480548468848731E-4</v>
      </c>
      <c r="J899" s="1">
        <f>[1]Services!F$15+J902</f>
        <v>1.4157227086276303</v>
      </c>
      <c r="K899" s="1">
        <f>[1]Services!G$15+K902</f>
        <v>2.8103331963303102</v>
      </c>
    </row>
    <row r="900" spans="2:11" x14ac:dyDescent="0.35">
      <c r="B900" s="5" t="str">
        <f t="shared" si="583"/>
        <v>SPS3</v>
      </c>
      <c r="C900" s="5" t="str">
        <f t="shared" si="582"/>
        <v>CH</v>
      </c>
      <c r="D900" t="s">
        <v>683</v>
      </c>
      <c r="E900" t="s">
        <v>8</v>
      </c>
      <c r="F900" s="1">
        <f>[1]Services!B$15*F893/SUM(F893:F894)</f>
        <v>0.28696018176665439</v>
      </c>
      <c r="G900" s="1">
        <f>[1]Services!C$15*G893/SUM(G893:G894)</f>
        <v>1.8158232832114438</v>
      </c>
      <c r="H900" s="1">
        <f>[1]Services!D$15*H893/SUM(H893:H894)</f>
        <v>0.19754705645085682</v>
      </c>
      <c r="I900" s="1">
        <f>[1]Services!E$15*I893/SUM(I893:I894)</f>
        <v>7.1972139855532252E-4</v>
      </c>
      <c r="J900" s="1">
        <f>[1]Services!F$15*J893/SUM(J893:J894)</f>
        <v>0.9129479023867102</v>
      </c>
      <c r="K900" s="1">
        <f>[1]Services!G$15*K893/SUM(K893:K894)</f>
        <v>1.6589085049316772</v>
      </c>
    </row>
    <row r="901" spans="2:11" x14ac:dyDescent="0.35">
      <c r="B901" s="5" t="str">
        <f t="shared" si="583"/>
        <v>SPS3</v>
      </c>
      <c r="C901" s="5" t="str">
        <f t="shared" ref="C901" si="593">C900</f>
        <v>CH</v>
      </c>
      <c r="D901" t="s">
        <v>728</v>
      </c>
      <c r="E901" t="s">
        <v>8</v>
      </c>
      <c r="F901" s="1">
        <f>[1]Services!B$15*F894/SUM(F893:F894)</f>
        <v>0</v>
      </c>
      <c r="G901" s="1">
        <f>[1]Services!C$15*G894/SUM(G893:G894)</f>
        <v>0</v>
      </c>
      <c r="H901" s="1">
        <f>[1]Services!D$15*H894/SUM(H893:H894)</f>
        <v>1.0232235129299608E-2</v>
      </c>
      <c r="I901" s="1">
        <f>[1]Services!E$15*I894/SUM(I893:I894)</f>
        <v>9.5084086133164714E-5</v>
      </c>
      <c r="J901" s="1">
        <f>[1]Services!F$15*J894/SUM(J893:J894)</f>
        <v>0.50277480624092008</v>
      </c>
      <c r="K901" s="1">
        <f>[1]Services!G$15*K894/SUM(K893:K894)</f>
        <v>1.151424691398633</v>
      </c>
    </row>
    <row r="902" spans="2:11" x14ac:dyDescent="0.35">
      <c r="B902" s="5" t="str">
        <f t="shared" si="583"/>
        <v>SPS3</v>
      </c>
      <c r="C902" s="5" t="str">
        <f>C900</f>
        <v>CH</v>
      </c>
      <c r="D902" t="s">
        <v>673</v>
      </c>
      <c r="E902" t="s">
        <v>8</v>
      </c>
      <c r="F902" s="1">
        <f>[1]Services!B$16</f>
        <v>1.4022937085356122</v>
      </c>
      <c r="G902" s="1">
        <f>[1]Services!C$16</f>
        <v>1.5372438451376709</v>
      </c>
      <c r="H902" s="1">
        <f>[1]Services!D$16</f>
        <v>0</v>
      </c>
      <c r="I902" s="1">
        <f>[1]Services!E$16</f>
        <v>0</v>
      </c>
      <c r="J902" s="1">
        <f>[1]Services!F$16</f>
        <v>0</v>
      </c>
      <c r="K902" s="1">
        <f>[1]Services!G$16</f>
        <v>0</v>
      </c>
    </row>
    <row r="903" spans="2:11" x14ac:dyDescent="0.35">
      <c r="B903" s="5" t="str">
        <f t="shared" si="583"/>
        <v>SPS3</v>
      </c>
      <c r="C903" s="5" t="str">
        <f>C902</f>
        <v>CH</v>
      </c>
      <c r="D903" t="s">
        <v>969</v>
      </c>
      <c r="E903" t="s">
        <v>8</v>
      </c>
      <c r="F903" s="1">
        <f>[1]Services!B$17</f>
        <v>7.7269177686185806</v>
      </c>
      <c r="G903" s="1">
        <f>[1]Services!C$17</f>
        <v>8.3697192040996118</v>
      </c>
      <c r="H903" s="1">
        <f>[1]Services!D$17</f>
        <v>6.0268155477090595</v>
      </c>
      <c r="I903" s="1">
        <f>[1]Services!E$17</f>
        <v>9.5166990407696819</v>
      </c>
      <c r="J903" s="1">
        <f>[1]Services!F$17</f>
        <v>9.9990344489427674</v>
      </c>
      <c r="K903" s="1">
        <f>[1]Services!G$17</f>
        <v>8.2479007706170542</v>
      </c>
    </row>
    <row r="904" spans="2:11" x14ac:dyDescent="0.35">
      <c r="B904" s="5" t="str">
        <f t="shared" si="583"/>
        <v>SPS3</v>
      </c>
      <c r="C904" s="5" t="str">
        <f t="shared" si="582"/>
        <v>CH</v>
      </c>
      <c r="D904" t="s">
        <v>970</v>
      </c>
      <c r="E904" t="s">
        <v>8</v>
      </c>
      <c r="F904" s="1">
        <f>[1]Services!B$51/0.99</f>
        <v>2.1169053033723504</v>
      </c>
      <c r="G904" s="1">
        <f>[1]Services!C$51/0.99</f>
        <v>2.2930110089556295</v>
      </c>
      <c r="H904" s="1">
        <f>[1]Services!D$51/0.99</f>
        <v>0</v>
      </c>
      <c r="I904" s="1">
        <f>[1]Services!E$51/0.99</f>
        <v>0</v>
      </c>
      <c r="J904" s="1">
        <f>[1]Services!F$51/0.99</f>
        <v>0</v>
      </c>
      <c r="K904" s="1">
        <f>[1]Services!G$51/0.99</f>
        <v>0</v>
      </c>
    </row>
    <row r="905" spans="2:11" x14ac:dyDescent="0.35">
      <c r="B905" s="5" t="str">
        <f t="shared" si="583"/>
        <v>SPS3</v>
      </c>
      <c r="C905" s="5" t="str">
        <f t="shared" si="582"/>
        <v>CH</v>
      </c>
      <c r="D905" t="s">
        <v>507</v>
      </c>
      <c r="E905" t="s">
        <v>8</v>
      </c>
      <c r="F905" s="1">
        <f>F904-SUM(F906:F909)</f>
        <v>1.4242934655558481</v>
      </c>
      <c r="G905" s="1">
        <f t="shared" ref="G905:K905" si="594">G904-SUM(G906:G909)</f>
        <v>1.542780622127162</v>
      </c>
      <c r="H905" s="1">
        <f t="shared" si="594"/>
        <v>-1.124661928183739E-2</v>
      </c>
      <c r="I905" s="1">
        <f t="shared" si="594"/>
        <v>-1.1712054405270763E-2</v>
      </c>
      <c r="J905" s="1">
        <f t="shared" si="594"/>
        <v>-2.1454977388605414E-3</v>
      </c>
      <c r="K905" s="1">
        <f t="shared" si="594"/>
        <v>-2.2321484094010888E-2</v>
      </c>
    </row>
    <row r="906" spans="2:11" x14ac:dyDescent="0.35">
      <c r="B906" s="5" t="str">
        <f t="shared" si="583"/>
        <v>SPS3</v>
      </c>
      <c r="C906" s="5" t="str">
        <f t="shared" si="582"/>
        <v>CH</v>
      </c>
      <c r="D906" t="s">
        <v>503</v>
      </c>
      <c r="E906" t="s">
        <v>8</v>
      </c>
      <c r="F906" s="1">
        <f t="shared" ref="F906:K907" si="595">F247</f>
        <v>0.69261183781650215</v>
      </c>
      <c r="G906" s="1">
        <f t="shared" si="595"/>
        <v>0.75023038682846743</v>
      </c>
      <c r="H906" s="1">
        <f t="shared" si="595"/>
        <v>1.124661928183739E-2</v>
      </c>
      <c r="I906" s="1">
        <f t="shared" si="595"/>
        <v>8.041776904332703E-3</v>
      </c>
      <c r="J906" s="1">
        <f t="shared" si="595"/>
        <v>4.1539808758773175E-4</v>
      </c>
      <c r="K906" s="1">
        <f t="shared" si="595"/>
        <v>3.6608886653123829E-4</v>
      </c>
    </row>
    <row r="907" spans="2:11" x14ac:dyDescent="0.35">
      <c r="B907" s="5" t="str">
        <f t="shared" si="583"/>
        <v>SPS3</v>
      </c>
      <c r="C907" s="5" t="str">
        <f t="shared" si="582"/>
        <v>CH</v>
      </c>
      <c r="D907" t="s">
        <v>504</v>
      </c>
      <c r="E907" t="s">
        <v>8</v>
      </c>
      <c r="F907" s="1">
        <f t="shared" si="595"/>
        <v>0</v>
      </c>
      <c r="G907" s="1">
        <f t="shared" si="595"/>
        <v>0</v>
      </c>
      <c r="H907" s="1">
        <f t="shared" si="595"/>
        <v>0</v>
      </c>
      <c r="I907" s="1">
        <f t="shared" si="595"/>
        <v>2.3116675722595944E-4</v>
      </c>
      <c r="J907" s="1">
        <f t="shared" si="595"/>
        <v>8.2706486261698692E-4</v>
      </c>
      <c r="K907" s="1">
        <f t="shared" si="595"/>
        <v>1.2074583629830786E-4</v>
      </c>
    </row>
    <row r="908" spans="2:11" x14ac:dyDescent="0.35">
      <c r="B908" s="5" t="str">
        <f t="shared" si="583"/>
        <v>SPS3</v>
      </c>
      <c r="C908" s="5" t="str">
        <f t="shared" si="582"/>
        <v>CH</v>
      </c>
      <c r="D908" t="s">
        <v>505</v>
      </c>
      <c r="E908" t="s">
        <v>8</v>
      </c>
      <c r="F908" s="1">
        <f t="shared" ref="F908:K908" si="596">F285</f>
        <v>0</v>
      </c>
      <c r="G908" s="1">
        <f t="shared" si="596"/>
        <v>0</v>
      </c>
      <c r="H908" s="1">
        <f t="shared" si="596"/>
        <v>0</v>
      </c>
      <c r="I908" s="1">
        <f t="shared" si="596"/>
        <v>7.7582957127537511E-4</v>
      </c>
      <c r="J908" s="1">
        <f t="shared" si="596"/>
        <v>3.7494749379283208E-4</v>
      </c>
      <c r="K908" s="1">
        <f t="shared" si="596"/>
        <v>2.7371364321251081E-3</v>
      </c>
    </row>
    <row r="909" spans="2:11" x14ac:dyDescent="0.35">
      <c r="B909" s="5" t="str">
        <f t="shared" si="583"/>
        <v>SPS3</v>
      </c>
      <c r="C909" s="5" t="str">
        <f t="shared" si="582"/>
        <v>CH</v>
      </c>
      <c r="D909" t="s">
        <v>506</v>
      </c>
      <c r="E909" t="s">
        <v>8</v>
      </c>
      <c r="F909" s="1">
        <f t="shared" ref="F909:K909" si="597">F288</f>
        <v>0</v>
      </c>
      <c r="G909" s="1">
        <f t="shared" si="597"/>
        <v>0</v>
      </c>
      <c r="H909" s="1">
        <f t="shared" si="597"/>
        <v>0</v>
      </c>
      <c r="I909" s="1">
        <f t="shared" si="597"/>
        <v>2.6632811724367268E-3</v>
      </c>
      <c r="J909" s="1">
        <f t="shared" si="597"/>
        <v>5.2808729486299069E-4</v>
      </c>
      <c r="K909" s="1">
        <f t="shared" si="597"/>
        <v>1.9097512959056234E-2</v>
      </c>
    </row>
    <row r="910" spans="2:11" x14ac:dyDescent="0.35">
      <c r="B910" s="5" t="str">
        <f t="shared" si="583"/>
        <v>SPS3</v>
      </c>
      <c r="C910" s="5" t="str">
        <f t="shared" si="582"/>
        <v>CH</v>
      </c>
      <c r="D910" t="s">
        <v>971</v>
      </c>
      <c r="E910" t="s">
        <v>8</v>
      </c>
      <c r="F910" s="1">
        <f>F903-F904</f>
        <v>5.6100124652462302</v>
      </c>
      <c r="G910" s="1">
        <f t="shared" ref="G910:K910" si="598">G903-G904</f>
        <v>6.0767081951439827</v>
      </c>
      <c r="H910" s="1">
        <f t="shared" si="598"/>
        <v>6.0268155477090595</v>
      </c>
      <c r="I910" s="1">
        <f t="shared" si="598"/>
        <v>9.5166990407696819</v>
      </c>
      <c r="J910" s="1">
        <f t="shared" si="598"/>
        <v>9.9990344489427674</v>
      </c>
      <c r="K910" s="1">
        <f t="shared" si="598"/>
        <v>8.2479007706170542</v>
      </c>
    </row>
    <row r="911" spans="2:11" x14ac:dyDescent="0.35">
      <c r="B911" s="5" t="str">
        <f t="shared" si="583"/>
        <v>SPS3</v>
      </c>
      <c r="C911" s="5" t="str">
        <f t="shared" si="582"/>
        <v>CH</v>
      </c>
      <c r="D911" t="s">
        <v>972</v>
      </c>
      <c r="E911" t="s">
        <v>8</v>
      </c>
      <c r="F911" s="1">
        <f>F912</f>
        <v>8.5743805715352792</v>
      </c>
      <c r="G911" s="1">
        <f t="shared" ref="G911:K911" si="599">G912</f>
        <v>9.981760903519314</v>
      </c>
      <c r="H911" s="1">
        <f t="shared" si="599"/>
        <v>10.039788795627199</v>
      </c>
      <c r="I911" s="1">
        <f t="shared" si="599"/>
        <v>8.5540742093002535</v>
      </c>
      <c r="J911" s="1">
        <f t="shared" si="599"/>
        <v>4.4903576283895053</v>
      </c>
      <c r="K911" s="1">
        <f t="shared" si="599"/>
        <v>1.8518018195643593</v>
      </c>
    </row>
    <row r="912" spans="2:11" x14ac:dyDescent="0.35">
      <c r="B912" s="5" t="str">
        <f t="shared" si="583"/>
        <v>SPS3</v>
      </c>
      <c r="C912" s="5" t="str">
        <f t="shared" si="582"/>
        <v>CH</v>
      </c>
      <c r="D912" t="s">
        <v>973</v>
      </c>
      <c r="E912" t="s">
        <v>8</v>
      </c>
      <c r="F912" s="1" cm="1">
        <f t="array" ref="F912">SUMPRODUCT(([1]OUT_FinalEnergyCons!$B$4:$B$10000="Var_Fin")*1, ISNUMBER(SEARCH("WOD",[1]OUT_FinalEnergyCons!$C$4:$C$10000))*1,(ISNUMBER(SEARCH("SCOM-SHWODBR",[1]OUT_FinalEnergyCons!$A$4:$A$10000)))*1,[1]OUT_FinalEnergyCons!D$4:D$10000)</f>
        <v>8.5743805715352792</v>
      </c>
      <c r="G912" s="1" cm="1">
        <f t="array" ref="G912">SUMPRODUCT(([1]OUT_FinalEnergyCons!$B$4:$B$10000="Var_Fin")*1, ISNUMBER(SEARCH("WOD",[1]OUT_FinalEnergyCons!$C$4:$C$10000))*1,(ISNUMBER(SEARCH("SCOM-SHWODBR",[1]OUT_FinalEnergyCons!$A$4:$A$10000)))*1,[1]OUT_FinalEnergyCons!E$4:E$10000)</f>
        <v>9.981760903519314</v>
      </c>
      <c r="H912" s="1" cm="1">
        <f t="array" ref="H912">SUMPRODUCT(([1]OUT_FinalEnergyCons!$B$4:$B$10000="Var_Fin")*1, ISNUMBER(SEARCH("WOD",[1]OUT_FinalEnergyCons!$C$4:$C$10000))*1,(ISNUMBER(SEARCH("SCOM-SHWODBR",[1]OUT_FinalEnergyCons!$A$4:$A$10000)))*1,[1]OUT_FinalEnergyCons!F$4:F$10000)</f>
        <v>10.039788795627199</v>
      </c>
      <c r="I912" s="1" cm="1">
        <f t="array" ref="I912">SUMPRODUCT(([1]OUT_FinalEnergyCons!$B$4:$B$10000="Var_Fin")*1, ISNUMBER(SEARCH("WOD",[1]OUT_FinalEnergyCons!$C$4:$C$10000))*1,(ISNUMBER(SEARCH("SCOM-SHWODBR",[1]OUT_FinalEnergyCons!$A$4:$A$10000)))*1,[1]OUT_FinalEnergyCons!G$4:G$10000)</f>
        <v>8.5540742093002535</v>
      </c>
      <c r="J912" s="1" cm="1">
        <f t="array" ref="J912">SUMPRODUCT(([1]OUT_FinalEnergyCons!$B$4:$B$10000="Var_Fin")*1, ISNUMBER(SEARCH("WOD",[1]OUT_FinalEnergyCons!$C$4:$C$10000))*1,(ISNUMBER(SEARCH("SCOM-SHWODBR",[1]OUT_FinalEnergyCons!$A$4:$A$10000)))*1,[1]OUT_FinalEnergyCons!H$4:H$10000)</f>
        <v>4.4903576283895053</v>
      </c>
      <c r="K912" s="1" cm="1">
        <f t="array" ref="K912">SUMPRODUCT(([1]OUT_FinalEnergyCons!$B$4:$B$10000="Var_Fin")*1, ISNUMBER(SEARCH("WOD",[1]OUT_FinalEnergyCons!$C$4:$C$10000))*1,(ISNUMBER(SEARCH("SCOM-SHWODBR",[1]OUT_FinalEnergyCons!$A$4:$A$10000)))*1,[1]OUT_FinalEnergyCons!I$4:I$10000)</f>
        <v>1.8518018195643593</v>
      </c>
    </row>
    <row r="913" spans="2:12" x14ac:dyDescent="0.35">
      <c r="B913" s="5" t="str">
        <f t="shared" si="583"/>
        <v>SPS3</v>
      </c>
      <c r="C913" s="5" t="str">
        <f t="shared" si="582"/>
        <v>CH</v>
      </c>
      <c r="D913" t="s">
        <v>974</v>
      </c>
      <c r="E913" t="s">
        <v>8</v>
      </c>
      <c r="F913" s="1">
        <f>F914</f>
        <v>2.0856467596463988</v>
      </c>
      <c r="G913" s="1">
        <f t="shared" ref="G913:K913" si="600">G914</f>
        <v>2.4001010381302459</v>
      </c>
      <c r="H913" s="1">
        <f t="shared" si="600"/>
        <v>0.29185545219730624</v>
      </c>
      <c r="I913" s="1">
        <f t="shared" si="600"/>
        <v>0.25531541080899062</v>
      </c>
      <c r="J913" s="1">
        <f t="shared" si="600"/>
        <v>0.13223701206552868</v>
      </c>
      <c r="K913" s="1">
        <f t="shared" si="600"/>
        <v>4.3629461043107616E-2</v>
      </c>
    </row>
    <row r="914" spans="2:12" x14ac:dyDescent="0.35">
      <c r="B914" s="5" t="str">
        <f t="shared" si="583"/>
        <v>SPS3</v>
      </c>
      <c r="C914" s="5" t="str">
        <f t="shared" si="582"/>
        <v>CH</v>
      </c>
      <c r="D914" t="s">
        <v>975</v>
      </c>
      <c r="E914" t="s">
        <v>8</v>
      </c>
      <c r="F914" s="1" cm="1">
        <f t="array" ref="F914">SUMPRODUCT(([1]OUT_FinalEnergyCons!$B$4:$B$10000="Var_Fin")*1,ISNUMBER(SEARCH("SPLT",[1]OUT_FinalEnergyCons!$C$4:$C$10000))*1, (ISNUMBER(SEARCH("SCOM-SHPLTBR",[1]OUT_FinalEnergyCons!$A$4:$A$10000)))*1,[1]OUT_FinalEnergyCons!D$4:D$10000)</f>
        <v>2.0856467596463988</v>
      </c>
      <c r="G914" s="1" cm="1">
        <f t="array" ref="G914">SUMPRODUCT(([1]OUT_FinalEnergyCons!$B$4:$B$10000="Var_Fin")*1,ISNUMBER(SEARCH("SPLT",[1]OUT_FinalEnergyCons!$C$4:$C$10000))*1, (ISNUMBER(SEARCH("SCOM-SHPLTBR",[1]OUT_FinalEnergyCons!$A$4:$A$10000)))*1,[1]OUT_FinalEnergyCons!E$4:E$10000)</f>
        <v>2.4001010381302459</v>
      </c>
      <c r="H914" s="1" cm="1">
        <f t="array" ref="H914">SUMPRODUCT(([1]OUT_FinalEnergyCons!$B$4:$B$10000="Var_Fin")*1,ISNUMBER(SEARCH("SPLT",[1]OUT_FinalEnergyCons!$C$4:$C$10000))*1, (ISNUMBER(SEARCH("SCOM-SHPLTBR",[1]OUT_FinalEnergyCons!$A$4:$A$10000)))*1,[1]OUT_FinalEnergyCons!F$4:F$10000)</f>
        <v>0.29185545219730624</v>
      </c>
      <c r="I914" s="1" cm="1">
        <f t="array" ref="I914">SUMPRODUCT(([1]OUT_FinalEnergyCons!$B$4:$B$10000="Var_Fin")*1,ISNUMBER(SEARCH("SPLT",[1]OUT_FinalEnergyCons!$C$4:$C$10000))*1, (ISNUMBER(SEARCH("SCOM-SHPLTBR",[1]OUT_FinalEnergyCons!$A$4:$A$10000)))*1,[1]OUT_FinalEnergyCons!G$4:G$10000)</f>
        <v>0.25531541080899062</v>
      </c>
      <c r="J914" s="1" cm="1">
        <f t="array" ref="J914">SUMPRODUCT(([1]OUT_FinalEnergyCons!$B$4:$B$10000="Var_Fin")*1,ISNUMBER(SEARCH("SPLT",[1]OUT_FinalEnergyCons!$C$4:$C$10000))*1, (ISNUMBER(SEARCH("SCOM-SHPLTBR",[1]OUT_FinalEnergyCons!$A$4:$A$10000)))*1,[1]OUT_FinalEnergyCons!H$4:H$10000)</f>
        <v>0.13223701206552868</v>
      </c>
      <c r="K914" s="1" cm="1">
        <f t="array" ref="K914">SUMPRODUCT(([1]OUT_FinalEnergyCons!$B$4:$B$10000="Var_Fin")*1,ISNUMBER(SEARCH("SPLT",[1]OUT_FinalEnergyCons!$C$4:$C$10000))*1, (ISNUMBER(SEARCH("SCOM-SHPLTBR",[1]OUT_FinalEnergyCons!$A$4:$A$10000)))*1,[1]OUT_FinalEnergyCons!I$4:I$10000)</f>
        <v>4.3629461043107616E-2</v>
      </c>
    </row>
    <row r="915" spans="2:12" x14ac:dyDescent="0.35">
      <c r="B915" s="5" t="str">
        <f t="shared" si="583"/>
        <v>SPS3</v>
      </c>
      <c r="C915" s="5" t="str">
        <f t="shared" si="582"/>
        <v>CH</v>
      </c>
      <c r="D915" t="s">
        <v>976</v>
      </c>
      <c r="E915" t="s">
        <v>8</v>
      </c>
      <c r="F915" s="1">
        <f>F916</f>
        <v>0.62701647637536329</v>
      </c>
      <c r="G915" s="1">
        <f t="shared" ref="G915:K915" si="601">G916</f>
        <v>0.68737308408018438</v>
      </c>
      <c r="H915" s="1">
        <f t="shared" si="601"/>
        <v>0.57113411202511877</v>
      </c>
      <c r="I915" s="1">
        <f t="shared" si="601"/>
        <v>0.8182813185024822</v>
      </c>
      <c r="J915" s="1">
        <f t="shared" si="601"/>
        <v>1.1490423746646188</v>
      </c>
      <c r="K915" s="1">
        <f t="shared" si="601"/>
        <v>1.2626302687544646</v>
      </c>
    </row>
    <row r="916" spans="2:12" x14ac:dyDescent="0.35">
      <c r="B916" s="5" t="str">
        <f t="shared" si="583"/>
        <v>SPS3</v>
      </c>
      <c r="C916" s="5" t="str">
        <f t="shared" si="582"/>
        <v>CH</v>
      </c>
      <c r="D916" t="s">
        <v>977</v>
      </c>
      <c r="E916" t="s">
        <v>8</v>
      </c>
      <c r="F916" s="1">
        <f>[1]Services!B$19</f>
        <v>0.62701647637536329</v>
      </c>
      <c r="G916" s="1">
        <f>[1]Services!C$19</f>
        <v>0.68737308408018438</v>
      </c>
      <c r="H916" s="1">
        <f>[1]Services!D$19</f>
        <v>0.57113411202511877</v>
      </c>
      <c r="I916" s="1">
        <f>[1]Services!E$19</f>
        <v>0.8182813185024822</v>
      </c>
      <c r="J916" s="1">
        <f>[1]Services!F$19</f>
        <v>1.1490423746646188</v>
      </c>
      <c r="K916" s="1">
        <f>[1]Services!G$19</f>
        <v>1.2626302687544646</v>
      </c>
    </row>
    <row r="917" spans="2:12" x14ac:dyDescent="0.35">
      <c r="B917" s="5" t="str">
        <f t="shared" si="583"/>
        <v>SPS3</v>
      </c>
      <c r="C917" s="5" t="str">
        <f t="shared" si="582"/>
        <v>CH</v>
      </c>
      <c r="D917" t="s">
        <v>978</v>
      </c>
      <c r="E917" t="s">
        <v>8</v>
      </c>
      <c r="F917" s="1">
        <f>[1]Services!B$20</f>
        <v>0</v>
      </c>
      <c r="G917" s="1">
        <f>[1]Services!C$20</f>
        <v>0</v>
      </c>
      <c r="H917" s="1">
        <f>[1]Services!D$20</f>
        <v>0</v>
      </c>
      <c r="I917" s="1">
        <f>[1]Services!E$20</f>
        <v>2.774661375715257E-3</v>
      </c>
      <c r="J917" s="1">
        <f>[1]Services!F$20</f>
        <v>5.3063983769163477E-4</v>
      </c>
      <c r="K917" s="1">
        <f>[1]Services!G$20</f>
        <v>1.3725659514700866E-2</v>
      </c>
    </row>
    <row r="918" spans="2:12" x14ac:dyDescent="0.35">
      <c r="B918" s="5" t="str">
        <f t="shared" si="583"/>
        <v>SPS3</v>
      </c>
      <c r="C918" s="5" t="str">
        <f t="shared" si="582"/>
        <v>CH</v>
      </c>
      <c r="D918" t="s">
        <v>746</v>
      </c>
      <c r="E918" t="s">
        <v>8</v>
      </c>
      <c r="F918" s="1">
        <f>F917-F919</f>
        <v>0</v>
      </c>
      <c r="G918" s="1">
        <f t="shared" ref="G918:K918" si="602">G917-G919</f>
        <v>0</v>
      </c>
      <c r="H918" s="1">
        <f t="shared" si="602"/>
        <v>0</v>
      </c>
      <c r="I918" s="1">
        <f t="shared" si="602"/>
        <v>0</v>
      </c>
      <c r="J918" s="1">
        <f t="shared" si="602"/>
        <v>0</v>
      </c>
      <c r="K918" s="1">
        <f t="shared" si="602"/>
        <v>0</v>
      </c>
    </row>
    <row r="919" spans="2:12" x14ac:dyDescent="0.35">
      <c r="B919" s="5" t="str">
        <f t="shared" si="583"/>
        <v>SPS3</v>
      </c>
      <c r="C919" s="5" t="str">
        <f t="shared" si="582"/>
        <v>CH</v>
      </c>
      <c r="D919" t="s">
        <v>747</v>
      </c>
      <c r="E919" t="s">
        <v>8</v>
      </c>
      <c r="F919" s="1">
        <f>F920</f>
        <v>0</v>
      </c>
      <c r="G919" s="1">
        <f t="shared" ref="G919:K919" si="603">G920</f>
        <v>0</v>
      </c>
      <c r="H919" s="1">
        <f t="shared" si="603"/>
        <v>0</v>
      </c>
      <c r="I919" s="1">
        <f t="shared" si="603"/>
        <v>2.774661375715257E-3</v>
      </c>
      <c r="J919" s="1">
        <f t="shared" si="603"/>
        <v>5.3063983769163477E-4</v>
      </c>
      <c r="K919" s="1">
        <f t="shared" si="603"/>
        <v>1.3725659514700866E-2</v>
      </c>
    </row>
    <row r="920" spans="2:12" x14ac:dyDescent="0.35">
      <c r="B920" s="5" t="str">
        <f t="shared" si="583"/>
        <v>SPS3</v>
      </c>
      <c r="C920" s="5" t="str">
        <f>C917</f>
        <v>CH</v>
      </c>
      <c r="D920" t="s">
        <v>979</v>
      </c>
      <c r="E920" t="s">
        <v>8</v>
      </c>
      <c r="F920" s="1">
        <f>[1]Services!B$20</f>
        <v>0</v>
      </c>
      <c r="G920" s="1">
        <f>[1]Services!C$20</f>
        <v>0</v>
      </c>
      <c r="H920" s="1">
        <f>[1]Services!D$20</f>
        <v>0</v>
      </c>
      <c r="I920" s="1">
        <f>[1]Services!E$20</f>
        <v>2.774661375715257E-3</v>
      </c>
      <c r="J920" s="1">
        <f>[1]Services!F$20</f>
        <v>5.3063983769163477E-4</v>
      </c>
      <c r="K920" s="1">
        <f>[1]Services!G$20</f>
        <v>1.3725659514700866E-2</v>
      </c>
    </row>
    <row r="921" spans="2:12" x14ac:dyDescent="0.35">
      <c r="B921" s="5" t="str">
        <f t="shared" si="583"/>
        <v>SPS3</v>
      </c>
      <c r="C921" s="5" t="str">
        <f t="shared" si="582"/>
        <v>CH</v>
      </c>
      <c r="D921" t="s">
        <v>980</v>
      </c>
      <c r="E921" t="s">
        <v>8</v>
      </c>
      <c r="F921" s="1">
        <f>F922</f>
        <v>2.9296545745124787</v>
      </c>
      <c r="G921" s="1">
        <f t="shared" ref="G921:K921" si="604">G922</f>
        <v>3.1924797565363603</v>
      </c>
      <c r="H921" s="1">
        <f t="shared" si="604"/>
        <v>4.1351643656056316</v>
      </c>
      <c r="I921" s="1">
        <f t="shared" si="604"/>
        <v>9.7815840511538461</v>
      </c>
      <c r="J921" s="1">
        <f t="shared" si="604"/>
        <v>17.919996291174606</v>
      </c>
      <c r="K921" s="1">
        <f t="shared" si="604"/>
        <v>18.046516449001164</v>
      </c>
    </row>
    <row r="922" spans="2:12" x14ac:dyDescent="0.35">
      <c r="B922" s="5" t="str">
        <f t="shared" si="583"/>
        <v>SPS3</v>
      </c>
      <c r="C922" s="5" t="str">
        <f t="shared" si="582"/>
        <v>CH</v>
      </c>
      <c r="D922" t="s">
        <v>981</v>
      </c>
      <c r="E922" t="s">
        <v>8</v>
      </c>
      <c r="F922" s="1">
        <f>[1]Services!B$21-F923</f>
        <v>2.9296545745124787</v>
      </c>
      <c r="G922" s="1">
        <f>[1]Services!C$21-G923</f>
        <v>3.1924797565363603</v>
      </c>
      <c r="H922" s="1">
        <f>[1]Services!D$21-H923</f>
        <v>4.1351643656056316</v>
      </c>
      <c r="I922" s="1">
        <f>[1]Services!E$21-I923</f>
        <v>9.7815840511538461</v>
      </c>
      <c r="J922" s="1">
        <f>[1]Services!F$21-J923</f>
        <v>17.919996291174606</v>
      </c>
      <c r="K922" s="1">
        <f>[1]Services!G$21-K923</f>
        <v>18.046516449001164</v>
      </c>
    </row>
    <row r="923" spans="2:12" x14ac:dyDescent="0.35">
      <c r="B923" s="5" t="str">
        <f t="shared" si="583"/>
        <v>SPS3</v>
      </c>
      <c r="C923" s="5" t="str">
        <f t="shared" ref="C923" si="605">C922</f>
        <v>CH</v>
      </c>
      <c r="D923" t="s">
        <v>982</v>
      </c>
      <c r="E923" t="s">
        <v>8</v>
      </c>
      <c r="F923" s="1">
        <f>[1]Services!B$50-F894</f>
        <v>0</v>
      </c>
      <c r="G923" s="1">
        <f>[1]Services!C$50-G894</f>
        <v>0</v>
      </c>
      <c r="H923" s="1">
        <f>[1]Services!D$50-H894</f>
        <v>1.1083318209914508</v>
      </c>
      <c r="I923" s="1">
        <f>[1]Services!E$50-I894</f>
        <v>2.1331061576035095</v>
      </c>
      <c r="J923" s="1">
        <f>[1]Services!F$50-J894</f>
        <v>3.3125347375960201</v>
      </c>
      <c r="K923" s="1">
        <f>[1]Services!G$50-K894</f>
        <v>2.8661721352782261</v>
      </c>
    </row>
    <row r="924" spans="2:12" x14ac:dyDescent="0.35">
      <c r="B924" s="9" t="str">
        <f t="shared" si="583"/>
        <v>SPS3</v>
      </c>
      <c r="C924" s="9" t="str">
        <f>C852</f>
        <v>CH</v>
      </c>
      <c r="D924" s="2" t="s">
        <v>697</v>
      </c>
      <c r="E924" s="9" t="s">
        <v>8</v>
      </c>
      <c r="F924" s="17">
        <f>[1]Services!B$59</f>
        <v>73.238593195592046</v>
      </c>
      <c r="G924" s="17">
        <f>[1]Services!C$59</f>
        <v>78.574639557173171</v>
      </c>
      <c r="H924" s="17">
        <f>[1]Services!D$59</f>
        <v>62.412524585352223</v>
      </c>
      <c r="I924" s="17">
        <f>[1]Services!E$59</f>
        <v>60.398493380378106</v>
      </c>
      <c r="J924" s="17">
        <f>[1]Services!F$59</f>
        <v>57.583168127903789</v>
      </c>
      <c r="K924" s="17">
        <f>[1]Services!G$59</f>
        <v>54.76695031684541</v>
      </c>
    </row>
    <row r="925" spans="2:12" x14ac:dyDescent="0.35">
      <c r="B925" s="5" t="str">
        <f t="shared" si="583"/>
        <v>SPS3</v>
      </c>
      <c r="C925" s="5" t="str">
        <f>C924</f>
        <v>CH</v>
      </c>
      <c r="D925" t="s">
        <v>983</v>
      </c>
      <c r="E925" t="s">
        <v>8</v>
      </c>
      <c r="F925" s="1">
        <f>SUM(F926:F928)</f>
        <v>63.650186137510467</v>
      </c>
      <c r="G925" s="1">
        <f t="shared" ref="G925:K925" si="606">SUM(G926:G928)</f>
        <v>63.910020459240741</v>
      </c>
      <c r="H925" s="1">
        <f t="shared" si="606"/>
        <v>65.351704808912601</v>
      </c>
      <c r="I925" s="1">
        <f t="shared" si="606"/>
        <v>68.835751558437025</v>
      </c>
      <c r="J925" s="1">
        <f t="shared" si="606"/>
        <v>72.497178859148036</v>
      </c>
      <c r="K925" s="1">
        <f t="shared" si="606"/>
        <v>65.382658033706008</v>
      </c>
    </row>
    <row r="926" spans="2:12" x14ac:dyDescent="0.35">
      <c r="B926" s="5" t="str">
        <f t="shared" si="583"/>
        <v>SPS3</v>
      </c>
      <c r="C926" s="5" t="str">
        <f>C925</f>
        <v>CH</v>
      </c>
      <c r="D926" t="s">
        <v>760</v>
      </c>
      <c r="E926" t="s">
        <v>8</v>
      </c>
      <c r="F926" s="1" cm="1">
        <f t="array" ref="F926">SUMPRODUCT(([1]OUT_FinalEnergyCons!$B$4:$B$10000="Var_FOut")*1, ISNUMBER(SEARCH("SCOM-SHAELC",[1]OUT_FinalEnergyCons!$C$4:$C$10000))*1, (ISNUMBER(SEARCH("SCOM-SHELCBR",[1]OUT_FinalEnergyCons!$A$4:$A$10000)))*1,[1]OUT_FinalEnergyCons!D$4:D$10000)</f>
        <v>2.3940958178526053</v>
      </c>
      <c r="G926" s="1" cm="1">
        <f t="array" ref="G926">SUMPRODUCT(([1]OUT_FinalEnergyCons!$B$4:$B$10000="Var_FOut")*1, ISNUMBER(SEARCH("SCOM-SHAELC",[1]OUT_FinalEnergyCons!$C$4:$C$10000))*1, (ISNUMBER(SEARCH("SCOM-SHELCBR",[1]OUT_FinalEnergyCons!$A$4:$A$10000)))*1,[1]OUT_FinalEnergyCons!E$4:E$10000)</f>
        <v>0.59042623532111627</v>
      </c>
      <c r="H926" s="1" cm="1">
        <f t="array" ref="H926">SUMPRODUCT(([1]OUT_FinalEnergyCons!$B$4:$B$10000="Var_FOut")*1, ISNUMBER(SEARCH("SCOM-SHAELC",[1]OUT_FinalEnergyCons!$C$4:$C$10000))*1, (ISNUMBER(SEARCH("SCOM-SHELCBR",[1]OUT_FinalEnergyCons!$A$4:$A$10000)))*1,[1]OUT_FinalEnergyCons!F$4:F$10000)</f>
        <v>0.52188401757408465</v>
      </c>
      <c r="I926" s="1" cm="1">
        <f t="array" ref="I926">SUMPRODUCT(([1]OUT_FinalEnergyCons!$B$4:$B$10000="Var_FOut")*1, ISNUMBER(SEARCH("SCOM-SHAELC",[1]OUT_FinalEnergyCons!$C$4:$C$10000))*1, (ISNUMBER(SEARCH("SCOM-SHELCBR",[1]OUT_FinalEnergyCons!$A$4:$A$10000)))*1,[1]OUT_FinalEnergyCons!G$4:G$10000)</f>
        <v>0.2975955662010466</v>
      </c>
      <c r="J926" s="1" cm="1">
        <f t="array" ref="J926">SUMPRODUCT(([1]OUT_FinalEnergyCons!$B$4:$B$10000="Var_FOut")*1, ISNUMBER(SEARCH("SCOM-SHAELC",[1]OUT_FinalEnergyCons!$C$4:$C$10000))*1, (ISNUMBER(SEARCH("SCOM-SHELCBR",[1]OUT_FinalEnergyCons!$A$4:$A$10000)))*1,[1]OUT_FinalEnergyCons!H$4:H$10000)</f>
        <v>0.20397919717852547</v>
      </c>
      <c r="K926" s="1" cm="1">
        <f t="array" ref="K926">SUMPRODUCT(([1]OUT_FinalEnergyCons!$B$4:$B$10000="Var_FOut")*1, ISNUMBER(SEARCH("SCOM-SHAELC",[1]OUT_FinalEnergyCons!$C$4:$C$10000))*1, (ISNUMBER(SEARCH("SCOM-SHELCBR",[1]OUT_FinalEnergyCons!$A$4:$A$10000)))*1,[1]OUT_FinalEnergyCons!I$4:I$10000)</f>
        <v>0.1366030292737303</v>
      </c>
    </row>
    <row r="927" spans="2:12" x14ac:dyDescent="0.35">
      <c r="B927" s="5" t="str">
        <f t="shared" si="583"/>
        <v>SPS3</v>
      </c>
      <c r="C927" s="5" t="str">
        <f t="shared" ref="C927:C930" si="607">C926</f>
        <v>CH</v>
      </c>
      <c r="D927" t="s">
        <v>729</v>
      </c>
      <c r="E927" t="s">
        <v>8</v>
      </c>
      <c r="F927" s="1">
        <f>[1]Services!B$47</f>
        <v>4.2613157447454233</v>
      </c>
      <c r="G927" s="1">
        <f>[1]Services!C$47</f>
        <v>4.6176939335615232</v>
      </c>
      <c r="H927" s="1">
        <f>[1]Services!D$47</f>
        <v>6.3149560739581245</v>
      </c>
      <c r="I927" s="1">
        <f>[1]Services!E$47</f>
        <v>14.08319319185528</v>
      </c>
      <c r="J927" s="1">
        <f>[1]Services!F$47</f>
        <v>24.740559688530791</v>
      </c>
      <c r="K927" s="1">
        <f>[1]Services!G$47</f>
        <v>24.322809648630567</v>
      </c>
    </row>
    <row r="928" spans="2:12" x14ac:dyDescent="0.35">
      <c r="B928" s="5" t="str">
        <f t="shared" si="583"/>
        <v>SPS3</v>
      </c>
      <c r="C928" s="5" t="str">
        <f t="shared" si="607"/>
        <v>CH</v>
      </c>
      <c r="D928" t="s">
        <v>691</v>
      </c>
      <c r="E928" t="s">
        <v>8</v>
      </c>
      <c r="F928" s="1">
        <f>[1]Services!B$3-([1]Services!B$6-[1]Services!B$58)</f>
        <v>56.994774574912441</v>
      </c>
      <c r="G928" s="1">
        <f>[1]Services!C$3-([1]Services!C$6-[1]Services!C$58)</f>
        <v>58.701900290358104</v>
      </c>
      <c r="H928" s="1">
        <f>[1]Services!D$3-([1]Services!D$6-[1]Services!D$58)</f>
        <v>58.514864717380391</v>
      </c>
      <c r="I928" s="1">
        <f>[1]Services!E$3-([1]Services!E$6-[1]Services!E$58)</f>
        <v>54.454962800380699</v>
      </c>
      <c r="J928" s="1">
        <f>[1]Services!F$3-([1]Services!F$6-[1]Services!F$58)</f>
        <v>47.552639973438723</v>
      </c>
      <c r="K928" s="1">
        <f>[1]Services!G$3-([1]Services!G$6-[1]Services!G$58)</f>
        <v>40.923245355801711</v>
      </c>
      <c r="L928" s="1"/>
    </row>
    <row r="929" spans="2:11" x14ac:dyDescent="0.35">
      <c r="B929" s="5" t="str">
        <f t="shared" si="583"/>
        <v>SPS3</v>
      </c>
      <c r="C929" s="5" t="str">
        <f t="shared" si="607"/>
        <v>CH</v>
      </c>
      <c r="D929" t="s">
        <v>1041</v>
      </c>
      <c r="E929" t="s">
        <v>8</v>
      </c>
      <c r="F929" s="1">
        <f>F930</f>
        <v>24.843074923892026</v>
      </c>
      <c r="G929" s="1">
        <f t="shared" ref="G929:K929" si="608">G930</f>
        <v>19.260807104364545</v>
      </c>
      <c r="H929" s="1">
        <f t="shared" si="608"/>
        <v>19.866533182813896</v>
      </c>
      <c r="I929" s="1">
        <f t="shared" si="608"/>
        <v>10.315030513938718</v>
      </c>
      <c r="J929" s="1">
        <f t="shared" si="608"/>
        <v>2.0339148270735352</v>
      </c>
      <c r="K929" s="1">
        <f t="shared" si="608"/>
        <v>5.729522211378598E-2</v>
      </c>
    </row>
    <row r="930" spans="2:11" x14ac:dyDescent="0.35">
      <c r="B930" s="5" t="str">
        <f t="shared" si="583"/>
        <v>SPS3</v>
      </c>
      <c r="C930" s="5" t="str">
        <f t="shared" si="607"/>
        <v>CH</v>
      </c>
      <c r="D930" t="s">
        <v>1042</v>
      </c>
      <c r="E930" t="s">
        <v>8</v>
      </c>
      <c r="F930" s="1">
        <f>[1]Services!B$48</f>
        <v>24.843074923892026</v>
      </c>
      <c r="G930" s="1">
        <f>[1]Services!C$48</f>
        <v>19.260807104364545</v>
      </c>
      <c r="H930" s="1">
        <f>[1]Services!D$48</f>
        <v>19.866533182813896</v>
      </c>
      <c r="I930" s="1">
        <f>[1]Services!E$48</f>
        <v>10.315030513938718</v>
      </c>
      <c r="J930" s="1">
        <f>[1]Services!F$48</f>
        <v>2.0339148270735352</v>
      </c>
      <c r="K930" s="1">
        <f>[1]Services!G$48</f>
        <v>5.729522211378598E-2</v>
      </c>
    </row>
    <row r="931" spans="2:11" x14ac:dyDescent="0.35">
      <c r="B931" s="5" t="str">
        <f t="shared" si="583"/>
        <v>SPS3</v>
      </c>
      <c r="C931" s="5" t="str">
        <f>C930</f>
        <v>CH</v>
      </c>
      <c r="D931" t="s">
        <v>1043</v>
      </c>
      <c r="E931" t="s">
        <v>8</v>
      </c>
      <c r="F931" s="1">
        <f>SUM(F932:F934)</f>
        <v>25.412805546607085</v>
      </c>
      <c r="G931" s="1">
        <f t="shared" ref="G931:K931" si="609">SUM(G932:G934)</f>
        <v>26.667717582615545</v>
      </c>
      <c r="H931" s="1">
        <f t="shared" si="609"/>
        <v>20.871010984305261</v>
      </c>
      <c r="I931" s="1">
        <f t="shared" si="609"/>
        <v>15.746828523770425</v>
      </c>
      <c r="J931" s="1">
        <f t="shared" si="609"/>
        <v>8.048287475549845</v>
      </c>
      <c r="K931" s="1">
        <f t="shared" si="609"/>
        <v>5.7060927404040109</v>
      </c>
    </row>
    <row r="932" spans="2:11" x14ac:dyDescent="0.35">
      <c r="B932" s="5" t="str">
        <f t="shared" si="583"/>
        <v>SPS3</v>
      </c>
      <c r="C932" s="5" t="str">
        <f t="shared" ref="C932:C951" si="610">C931</f>
        <v>CH</v>
      </c>
      <c r="D932" t="s">
        <v>1044</v>
      </c>
      <c r="E932" t="s">
        <v>8</v>
      </c>
      <c r="F932" s="1">
        <f>[1]Services!B$49</f>
        <v>24.189724974022322</v>
      </c>
      <c r="G932" s="1">
        <f>[1]Services!C$49</f>
        <v>25.326933500886469</v>
      </c>
      <c r="H932" s="1">
        <f>[1]Services!D$49</f>
        <v>18.570956807508022</v>
      </c>
      <c r="I932" s="1">
        <f>[1]Services!E$49</f>
        <v>11.578184081278469</v>
      </c>
      <c r="J932" s="1">
        <f>[1]Services!F$49</f>
        <v>1.9604526804658329</v>
      </c>
      <c r="K932" s="1">
        <f>[1]Services!G$49</f>
        <v>0.79289834660740854</v>
      </c>
    </row>
    <row r="933" spans="2:11" x14ac:dyDescent="0.35">
      <c r="B933" s="5" t="str">
        <f t="shared" si="583"/>
        <v>SPS3</v>
      </c>
      <c r="C933" s="5" t="str">
        <f t="shared" ref="C933" si="611">C932</f>
        <v>CH</v>
      </c>
      <c r="D933" t="s">
        <v>1045</v>
      </c>
      <c r="E933" t="s">
        <v>8</v>
      </c>
      <c r="F933" s="1">
        <f>[1]Services!B$50</f>
        <v>0</v>
      </c>
      <c r="G933" s="1">
        <f>[1]Services!C$50</f>
        <v>0</v>
      </c>
      <c r="H933" s="1">
        <f>[1]Services!D$50</f>
        <v>2.3000541767972393</v>
      </c>
      <c r="I933" s="1">
        <f>[1]Services!E$50</f>
        <v>4.1686444424919564</v>
      </c>
      <c r="J933" s="1">
        <f>[1]Services!F$50</f>
        <v>6.0878347950840128</v>
      </c>
      <c r="K933" s="1">
        <f>[1]Services!G$50</f>
        <v>4.9131943937966023</v>
      </c>
    </row>
    <row r="934" spans="2:11" x14ac:dyDescent="0.35">
      <c r="B934" s="5" t="str">
        <f t="shared" si="583"/>
        <v>SPS3</v>
      </c>
      <c r="C934" s="5" t="str">
        <f>C932</f>
        <v>CH</v>
      </c>
      <c r="D934" t="s">
        <v>1046</v>
      </c>
      <c r="E934" t="s">
        <v>8</v>
      </c>
      <c r="F934" s="1">
        <f>[1]Services!B$56</f>
        <v>1.2230805725847629</v>
      </c>
      <c r="G934" s="1">
        <f>[1]Services!C$56</f>
        <v>1.3407840817290759</v>
      </c>
      <c r="H934" s="1">
        <f>[1]Services!D$56</f>
        <v>0</v>
      </c>
      <c r="I934" s="1">
        <f>[1]Services!E$56</f>
        <v>0</v>
      </c>
      <c r="J934" s="1">
        <f>[1]Services!F$56</f>
        <v>0</v>
      </c>
      <c r="K934" s="1">
        <f>[1]Services!G$56</f>
        <v>0</v>
      </c>
    </row>
    <row r="935" spans="2:11" x14ac:dyDescent="0.35">
      <c r="B935" s="5" t="str">
        <f t="shared" si="583"/>
        <v>SPS3</v>
      </c>
      <c r="C935" s="5" t="str">
        <f t="shared" si="610"/>
        <v>CH</v>
      </c>
      <c r="D935" t="s">
        <v>984</v>
      </c>
      <c r="E935" t="s">
        <v>8</v>
      </c>
      <c r="F935" s="1">
        <f>F936+F942</f>
        <v>7.649648590932391</v>
      </c>
      <c r="G935" s="1">
        <f t="shared" ref="G935:K935" si="612">G936+G942</f>
        <v>8.2860220120586163</v>
      </c>
      <c r="H935" s="1">
        <f t="shared" si="612"/>
        <v>4.9480702905660534</v>
      </c>
      <c r="I935" s="1">
        <f t="shared" si="612"/>
        <v>7.8931729194477098</v>
      </c>
      <c r="J935" s="1">
        <f t="shared" si="612"/>
        <v>8.2932230592674792</v>
      </c>
      <c r="K935" s="1">
        <f t="shared" si="612"/>
        <v>6.8408286030721479</v>
      </c>
    </row>
    <row r="936" spans="2:11" x14ac:dyDescent="0.35">
      <c r="B936" s="5" t="str">
        <f t="shared" si="583"/>
        <v>SPS3</v>
      </c>
      <c r="C936" s="5" t="str">
        <f t="shared" si="610"/>
        <v>CH</v>
      </c>
      <c r="D936" t="s">
        <v>985</v>
      </c>
      <c r="E936" t="s">
        <v>8</v>
      </c>
      <c r="F936" s="1">
        <f>[1]Services!B$51</f>
        <v>2.0957362503386268</v>
      </c>
      <c r="G936" s="1">
        <f>[1]Services!C$51</f>
        <v>2.2700808988660732</v>
      </c>
      <c r="H936" s="1">
        <f>[1]Services!D$51</f>
        <v>0</v>
      </c>
      <c r="I936" s="1">
        <f>[1]Services!E$51</f>
        <v>0</v>
      </c>
      <c r="J936" s="1">
        <f>[1]Services!F$51</f>
        <v>0</v>
      </c>
      <c r="K936" s="1">
        <f>[1]Services!G$51</f>
        <v>0</v>
      </c>
    </row>
    <row r="937" spans="2:11" x14ac:dyDescent="0.35">
      <c r="B937" s="5" t="str">
        <f t="shared" si="583"/>
        <v>SPS3</v>
      </c>
      <c r="C937" s="5" t="str">
        <f t="shared" si="610"/>
        <v>CH</v>
      </c>
      <c r="D937" t="s">
        <v>692</v>
      </c>
      <c r="E937" t="s">
        <v>8</v>
      </c>
      <c r="F937" s="1">
        <f>IFERROR(F905/F$904,0)*F$936</f>
        <v>1.4100505309002895</v>
      </c>
      <c r="G937" s="1">
        <f t="shared" ref="G937:K937" si="613">IFERROR(G905/G$904,0)*G$936</f>
        <v>1.5273528159058904</v>
      </c>
      <c r="H937" s="1">
        <f t="shared" si="613"/>
        <v>0</v>
      </c>
      <c r="I937" s="1">
        <f t="shared" si="613"/>
        <v>0</v>
      </c>
      <c r="J937" s="1">
        <f t="shared" si="613"/>
        <v>0</v>
      </c>
      <c r="K937" s="1">
        <f t="shared" si="613"/>
        <v>0</v>
      </c>
    </row>
    <row r="938" spans="2:11" x14ac:dyDescent="0.35">
      <c r="B938" s="5" t="str">
        <f t="shared" si="583"/>
        <v>SPS3</v>
      </c>
      <c r="C938" s="5" t="str">
        <f t="shared" si="610"/>
        <v>CH</v>
      </c>
      <c r="D938" t="s">
        <v>693</v>
      </c>
      <c r="E938" t="s">
        <v>8</v>
      </c>
      <c r="F938" s="1">
        <f>IFERROR(F906/F$904,0)*F$936</f>
        <v>0.68568571943833712</v>
      </c>
      <c r="G938" s="1">
        <f t="shared" ref="G938:K941" si="614">IFERROR(G906/G$904,0)*G$936</f>
        <v>0.74272808296018278</v>
      </c>
      <c r="H938" s="1">
        <f t="shared" si="614"/>
        <v>0</v>
      </c>
      <c r="I938" s="1">
        <f t="shared" si="614"/>
        <v>0</v>
      </c>
      <c r="J938" s="1">
        <f t="shared" si="614"/>
        <v>0</v>
      </c>
      <c r="K938" s="1">
        <f t="shared" si="614"/>
        <v>0</v>
      </c>
    </row>
    <row r="939" spans="2:11" x14ac:dyDescent="0.35">
      <c r="B939" s="5" t="str">
        <f t="shared" si="583"/>
        <v>SPS3</v>
      </c>
      <c r="C939" s="5" t="str">
        <f t="shared" si="610"/>
        <v>CH</v>
      </c>
      <c r="D939" t="s">
        <v>694</v>
      </c>
      <c r="E939" t="s">
        <v>8</v>
      </c>
      <c r="F939" s="1">
        <f>IFERROR(F907/F$904,0)*F$936</f>
        <v>0</v>
      </c>
      <c r="G939" s="1">
        <f t="shared" si="614"/>
        <v>0</v>
      </c>
      <c r="H939" s="1">
        <f t="shared" si="614"/>
        <v>0</v>
      </c>
      <c r="I939" s="1">
        <f t="shared" si="614"/>
        <v>0</v>
      </c>
      <c r="J939" s="1">
        <f t="shared" si="614"/>
        <v>0</v>
      </c>
      <c r="K939" s="1">
        <f t="shared" si="614"/>
        <v>0</v>
      </c>
    </row>
    <row r="940" spans="2:11" x14ac:dyDescent="0.35">
      <c r="B940" s="5" t="str">
        <f t="shared" si="583"/>
        <v>SPS3</v>
      </c>
      <c r="C940" s="5" t="str">
        <f t="shared" si="610"/>
        <v>CH</v>
      </c>
      <c r="D940" t="s">
        <v>695</v>
      </c>
      <c r="E940" t="s">
        <v>8</v>
      </c>
      <c r="F940" s="1">
        <f>IFERROR(F908/F$904,0)*F$936</f>
        <v>0</v>
      </c>
      <c r="G940" s="1">
        <f t="shared" si="614"/>
        <v>0</v>
      </c>
      <c r="H940" s="1">
        <f t="shared" si="614"/>
        <v>0</v>
      </c>
      <c r="I940" s="1">
        <f t="shared" si="614"/>
        <v>0</v>
      </c>
      <c r="J940" s="1">
        <f t="shared" si="614"/>
        <v>0</v>
      </c>
      <c r="K940" s="1">
        <f t="shared" si="614"/>
        <v>0</v>
      </c>
    </row>
    <row r="941" spans="2:11" x14ac:dyDescent="0.35">
      <c r="B941" s="5" t="str">
        <f t="shared" si="583"/>
        <v>SPS3</v>
      </c>
      <c r="C941" s="5" t="str">
        <f t="shared" si="610"/>
        <v>CH</v>
      </c>
      <c r="D941" t="s">
        <v>696</v>
      </c>
      <c r="E941" t="s">
        <v>8</v>
      </c>
      <c r="F941" s="1">
        <f>IFERROR(F909/F$904,0)*F$936</f>
        <v>0</v>
      </c>
      <c r="G941" s="1">
        <f t="shared" si="614"/>
        <v>0</v>
      </c>
      <c r="H941" s="1">
        <f t="shared" si="614"/>
        <v>0</v>
      </c>
      <c r="I941" s="1">
        <f t="shared" si="614"/>
        <v>0</v>
      </c>
      <c r="J941" s="1">
        <f t="shared" si="614"/>
        <v>0</v>
      </c>
      <c r="K941" s="1">
        <f t="shared" si="614"/>
        <v>0</v>
      </c>
    </row>
    <row r="942" spans="2:11" x14ac:dyDescent="0.35">
      <c r="B942" s="5" t="str">
        <f t="shared" si="583"/>
        <v>SPS3</v>
      </c>
      <c r="C942" s="5" t="str">
        <f t="shared" si="610"/>
        <v>CH</v>
      </c>
      <c r="D942" t="s">
        <v>986</v>
      </c>
      <c r="E942" t="s">
        <v>8</v>
      </c>
      <c r="F942" s="1">
        <f>[1]Services!B$52</f>
        <v>5.5539123405937643</v>
      </c>
      <c r="G942" s="1">
        <f>[1]Services!C$52</f>
        <v>6.0159411131925431</v>
      </c>
      <c r="H942" s="1">
        <f>[1]Services!D$52</f>
        <v>4.9480702905660534</v>
      </c>
      <c r="I942" s="1">
        <f>[1]Services!E$52</f>
        <v>7.8931729194477098</v>
      </c>
      <c r="J942" s="1">
        <f>[1]Services!F$52</f>
        <v>8.2932230592674792</v>
      </c>
      <c r="K942" s="1">
        <f>[1]Services!G$52</f>
        <v>6.8408286030721479</v>
      </c>
    </row>
    <row r="943" spans="2:11" x14ac:dyDescent="0.35">
      <c r="B943" s="5" t="str">
        <f t="shared" si="583"/>
        <v>SPS3</v>
      </c>
      <c r="C943" s="5" t="str">
        <f t="shared" si="610"/>
        <v>CH</v>
      </c>
      <c r="D943" t="s">
        <v>987</v>
      </c>
      <c r="E943" t="s">
        <v>8</v>
      </c>
      <c r="F943" s="1">
        <f>F944</f>
        <v>6.1735540115053968</v>
      </c>
      <c r="G943" s="1">
        <f t="shared" ref="G943:K943" si="615">G944</f>
        <v>7.1868678505339076</v>
      </c>
      <c r="H943" s="1">
        <f t="shared" si="615"/>
        <v>6.7621188648358448</v>
      </c>
      <c r="I943" s="1">
        <f t="shared" si="615"/>
        <v>5.7644991065024405</v>
      </c>
      <c r="J943" s="1">
        <f t="shared" si="615"/>
        <v>3.0262441105405995</v>
      </c>
      <c r="K943" s="1">
        <f t="shared" si="615"/>
        <v>1.314962640452022</v>
      </c>
    </row>
    <row r="944" spans="2:11" x14ac:dyDescent="0.35">
      <c r="B944" s="5" t="str">
        <f t="shared" si="583"/>
        <v>SPS3</v>
      </c>
      <c r="C944" s="5" t="str">
        <f t="shared" si="610"/>
        <v>CH</v>
      </c>
      <c r="D944" t="s">
        <v>988</v>
      </c>
      <c r="E944" t="s">
        <v>8</v>
      </c>
      <c r="F944" s="1">
        <f>[1]Services!B$53</f>
        <v>6.1735540115053968</v>
      </c>
      <c r="G944" s="1">
        <f>[1]Services!C$53</f>
        <v>7.1868678505339076</v>
      </c>
      <c r="H944" s="1">
        <f>[1]Services!D$53</f>
        <v>6.7621188648358448</v>
      </c>
      <c r="I944" s="1">
        <f>[1]Services!E$53</f>
        <v>5.7644991065024405</v>
      </c>
      <c r="J944" s="1">
        <f>[1]Services!F$53</f>
        <v>3.0262441105405995</v>
      </c>
      <c r="K944" s="1">
        <f>[1]Services!G$53</f>
        <v>1.314962640452022</v>
      </c>
    </row>
    <row r="945" spans="2:11" x14ac:dyDescent="0.35">
      <c r="B945" s="5" t="str">
        <f t="shared" si="583"/>
        <v>SPS3</v>
      </c>
      <c r="C945" s="5" t="str">
        <f t="shared" si="610"/>
        <v>CH</v>
      </c>
      <c r="D945" t="s">
        <v>989</v>
      </c>
      <c r="E945" t="s">
        <v>8</v>
      </c>
      <c r="F945" s="1">
        <f>F946</f>
        <v>1.8770820836817566</v>
      </c>
      <c r="G945" s="1">
        <f t="shared" ref="G945:K945" si="616">G946</f>
        <v>2.160090934317219</v>
      </c>
      <c r="H945" s="1">
        <f t="shared" si="616"/>
        <v>0.19132683263036365</v>
      </c>
      <c r="I945" s="1">
        <f t="shared" si="616"/>
        <v>0.16737288443314946</v>
      </c>
      <c r="J945" s="1">
        <f t="shared" si="616"/>
        <v>8.6688422246422939E-2</v>
      </c>
      <c r="K945" s="1">
        <f t="shared" si="616"/>
        <v>3.0259383960476668E-2</v>
      </c>
    </row>
    <row r="946" spans="2:11" x14ac:dyDescent="0.35">
      <c r="B946" s="5" t="str">
        <f t="shared" si="583"/>
        <v>SPS3</v>
      </c>
      <c r="C946" s="5" t="str">
        <f t="shared" si="610"/>
        <v>CH</v>
      </c>
      <c r="D946" t="s">
        <v>990</v>
      </c>
      <c r="E946" t="s">
        <v>8</v>
      </c>
      <c r="F946" s="1">
        <f>[1]Services!B$54</f>
        <v>1.8770820836817566</v>
      </c>
      <c r="G946" s="1">
        <f>[1]Services!C$54</f>
        <v>2.160090934317219</v>
      </c>
      <c r="H946" s="1">
        <f>[1]Services!D$54</f>
        <v>0.19132683263036365</v>
      </c>
      <c r="I946" s="1">
        <f>[1]Services!E$54</f>
        <v>0.16737288443314946</v>
      </c>
      <c r="J946" s="1">
        <f>[1]Services!F$54</f>
        <v>8.6688422246422939E-2</v>
      </c>
      <c r="K946" s="1">
        <f>[1]Services!G$54</f>
        <v>3.0259383960476668E-2</v>
      </c>
    </row>
    <row r="947" spans="2:11" x14ac:dyDescent="0.35">
      <c r="B947" s="5" t="str">
        <f t="shared" si="583"/>
        <v>SPS3</v>
      </c>
      <c r="C947" s="5" t="str">
        <f t="shared" si="610"/>
        <v>CH</v>
      </c>
      <c r="D947" t="s">
        <v>991</v>
      </c>
      <c r="E947" t="s">
        <v>8</v>
      </c>
      <c r="F947" s="1">
        <f>F948</f>
        <v>0.62701647637536329</v>
      </c>
      <c r="G947" s="1">
        <f t="shared" ref="G947:K947" si="617">G948</f>
        <v>0.68737308408018438</v>
      </c>
      <c r="H947" s="1">
        <f t="shared" si="617"/>
        <v>0.57113411202511877</v>
      </c>
      <c r="I947" s="1">
        <f t="shared" si="617"/>
        <v>0.8182813185024822</v>
      </c>
      <c r="J947" s="1">
        <f t="shared" si="617"/>
        <v>1.1490423746646188</v>
      </c>
      <c r="K947" s="1">
        <f t="shared" si="617"/>
        <v>1.2626302687544646</v>
      </c>
    </row>
    <row r="948" spans="2:11" x14ac:dyDescent="0.35">
      <c r="B948" s="5" t="str">
        <f t="shared" ref="B948:B1011" si="618">B947</f>
        <v>SPS3</v>
      </c>
      <c r="C948" s="5" t="str">
        <f t="shared" si="610"/>
        <v>CH</v>
      </c>
      <c r="D948" t="s">
        <v>992</v>
      </c>
      <c r="E948" t="s">
        <v>8</v>
      </c>
      <c r="F948" s="1">
        <f>[1]Services!B$55</f>
        <v>0.62701647637536329</v>
      </c>
      <c r="G948" s="1">
        <f>[1]Services!C$55</f>
        <v>0.68737308408018438</v>
      </c>
      <c r="H948" s="1">
        <f>[1]Services!D$55</f>
        <v>0.57113411202511877</v>
      </c>
      <c r="I948" s="1">
        <f>[1]Services!E$55</f>
        <v>0.8182813185024822</v>
      </c>
      <c r="J948" s="1">
        <f>[1]Services!F$55</f>
        <v>1.1490423746646188</v>
      </c>
      <c r="K948" s="1">
        <f>[1]Services!G$55</f>
        <v>1.2626302687544646</v>
      </c>
    </row>
    <row r="949" spans="2:11" x14ac:dyDescent="0.35">
      <c r="B949" s="5" t="str">
        <f t="shared" si="618"/>
        <v>SPS3</v>
      </c>
      <c r="C949" s="5" t="str">
        <f t="shared" si="610"/>
        <v>CH</v>
      </c>
      <c r="D949" t="s">
        <v>993</v>
      </c>
      <c r="E949" t="s">
        <v>8</v>
      </c>
      <c r="F949" s="1">
        <f>F950</f>
        <v>0</v>
      </c>
      <c r="G949" s="1">
        <f t="shared" ref="G949:K949" si="619">G950</f>
        <v>0</v>
      </c>
      <c r="H949" s="1">
        <f t="shared" si="619"/>
        <v>0</v>
      </c>
      <c r="I949" s="1">
        <f t="shared" si="619"/>
        <v>0</v>
      </c>
      <c r="J949" s="1">
        <f t="shared" si="619"/>
        <v>0</v>
      </c>
      <c r="K949" s="1">
        <f t="shared" si="619"/>
        <v>0</v>
      </c>
    </row>
    <row r="950" spans="2:11" x14ac:dyDescent="0.35">
      <c r="B950" s="5" t="str">
        <f t="shared" si="618"/>
        <v>SPS3</v>
      </c>
      <c r="C950" s="5" t="str">
        <f t="shared" si="610"/>
        <v>CH</v>
      </c>
      <c r="D950" t="s">
        <v>994</v>
      </c>
      <c r="E950" t="s">
        <v>8</v>
      </c>
      <c r="F950" s="1">
        <f>[1]Services!B$57</f>
        <v>0</v>
      </c>
      <c r="G950" s="1">
        <f>[1]Services!C$57</f>
        <v>0</v>
      </c>
      <c r="H950" s="1">
        <f>[1]Services!D$57</f>
        <v>0</v>
      </c>
      <c r="I950" s="1">
        <f>[1]Services!E$57</f>
        <v>0</v>
      </c>
      <c r="J950" s="1">
        <f>[1]Services!F$57</f>
        <v>0</v>
      </c>
      <c r="K950" s="1">
        <f>[1]Services!G$57</f>
        <v>0</v>
      </c>
    </row>
    <row r="951" spans="2:11" x14ac:dyDescent="0.35">
      <c r="B951" s="5" t="str">
        <f t="shared" si="618"/>
        <v>SPS3</v>
      </c>
      <c r="C951" s="5" t="str">
        <f t="shared" si="610"/>
        <v>CH</v>
      </c>
      <c r="D951" t="s">
        <v>995</v>
      </c>
      <c r="E951" t="s">
        <v>8</v>
      </c>
      <c r="F951" s="1">
        <f>[1]Services!B$58</f>
        <v>0</v>
      </c>
      <c r="G951" s="1">
        <f>[1]Services!C$58</f>
        <v>9.1176408203205348</v>
      </c>
      <c r="H951" s="1">
        <f>[1]Services!D$58</f>
        <v>2.3654902266434665</v>
      </c>
      <c r="I951" s="1">
        <f>[1]Services!E$58</f>
        <v>5.3125193557268569</v>
      </c>
      <c r="J951" s="1">
        <f>[1]Services!F$58</f>
        <v>10.00122897285198</v>
      </c>
      <c r="K951" s="1">
        <f>[1]Services!G$58</f>
        <v>15.095468780184204</v>
      </c>
    </row>
    <row r="952" spans="2:11" x14ac:dyDescent="0.35">
      <c r="B952" s="5" t="str">
        <f t="shared" si="618"/>
        <v>SPS3</v>
      </c>
      <c r="C952" s="5" t="str">
        <f>C951</f>
        <v>CH</v>
      </c>
      <c r="D952" s="2" t="s">
        <v>689</v>
      </c>
      <c r="E952" s="2" t="s">
        <v>240</v>
      </c>
      <c r="F952" s="1" t="s">
        <v>292</v>
      </c>
      <c r="G952" s="1" t="s">
        <v>292</v>
      </c>
      <c r="H952" s="1" t="s">
        <v>292</v>
      </c>
      <c r="I952" s="1" t="s">
        <v>292</v>
      </c>
      <c r="J952" s="1" t="s">
        <v>292</v>
      </c>
      <c r="K952" s="1" t="s">
        <v>292</v>
      </c>
    </row>
    <row r="953" spans="2:11" x14ac:dyDescent="0.35">
      <c r="B953" s="5" t="str">
        <f t="shared" si="618"/>
        <v>SPS3</v>
      </c>
      <c r="C953" s="5" t="str">
        <f t="shared" ref="C953:C969" si="620">C952</f>
        <v>CH</v>
      </c>
      <c r="D953" t="s">
        <v>761</v>
      </c>
      <c r="E953" t="s">
        <v>240</v>
      </c>
      <c r="F953" s="4">
        <f t="shared" ref="F953:K955" si="621">IFERROR(F926/F882,"-")</f>
        <v>0.91249999999999942</v>
      </c>
      <c r="G953" s="4">
        <f t="shared" si="621"/>
        <v>0.9149999999999997</v>
      </c>
      <c r="H953" s="4">
        <f t="shared" si="621"/>
        <v>0.47857333656939588</v>
      </c>
      <c r="I953" s="4">
        <f t="shared" si="621"/>
        <v>0.50334893035058015</v>
      </c>
      <c r="J953" s="4">
        <f t="shared" si="621"/>
        <v>0.51953200943331046</v>
      </c>
      <c r="K953" s="4">
        <f t="shared" si="621"/>
        <v>0.53091961458260117</v>
      </c>
    </row>
    <row r="954" spans="2:11" x14ac:dyDescent="0.35">
      <c r="B954" s="5" t="str">
        <f t="shared" si="618"/>
        <v>SPS3</v>
      </c>
      <c r="C954" s="5" t="str">
        <f t="shared" si="620"/>
        <v>CH</v>
      </c>
      <c r="D954" t="s">
        <v>730</v>
      </c>
      <c r="E954" t="s">
        <v>240</v>
      </c>
      <c r="F954" s="4">
        <f t="shared" si="621"/>
        <v>3.1999999999999997</v>
      </c>
      <c r="G954" s="4">
        <f t="shared" si="621"/>
        <v>3.2399999999999971</v>
      </c>
      <c r="H954" s="4">
        <f t="shared" si="621"/>
        <v>2.8970456442056225</v>
      </c>
      <c r="I954" s="4">
        <f t="shared" si="621"/>
        <v>3.2739360390978796</v>
      </c>
      <c r="J954" s="4">
        <f t="shared" si="621"/>
        <v>3.6273483944333433</v>
      </c>
      <c r="K954" s="4">
        <f t="shared" si="621"/>
        <v>3.8753463031438296</v>
      </c>
    </row>
    <row r="955" spans="2:11" x14ac:dyDescent="0.35">
      <c r="B955" s="5" t="str">
        <f t="shared" si="618"/>
        <v>SPS3</v>
      </c>
      <c r="C955" s="5" t="str">
        <f t="shared" si="620"/>
        <v>CH</v>
      </c>
      <c r="D955" t="s">
        <v>699</v>
      </c>
      <c r="E955" t="s">
        <v>240</v>
      </c>
      <c r="F955" s="4">
        <f t="shared" si="621"/>
        <v>1</v>
      </c>
      <c r="G955" s="4">
        <f t="shared" si="621"/>
        <v>1</v>
      </c>
      <c r="H955" s="4">
        <f t="shared" si="621"/>
        <v>1</v>
      </c>
      <c r="I955" s="4">
        <f t="shared" si="621"/>
        <v>1</v>
      </c>
      <c r="J955" s="4">
        <f t="shared" si="621"/>
        <v>0.99999999999999989</v>
      </c>
      <c r="K955" s="4">
        <f t="shared" si="621"/>
        <v>1</v>
      </c>
    </row>
    <row r="956" spans="2:11" x14ac:dyDescent="0.35">
      <c r="B956" s="5" t="str">
        <f t="shared" si="618"/>
        <v>SPS3</v>
      </c>
      <c r="C956" s="5" t="str">
        <f t="shared" si="620"/>
        <v>CH</v>
      </c>
      <c r="D956" t="s">
        <v>700</v>
      </c>
      <c r="E956" t="s">
        <v>240</v>
      </c>
      <c r="F956" s="4">
        <f t="shared" ref="F956:K956" si="622">IFERROR(F930/F886,"-")</f>
        <v>0.82107843137254899</v>
      </c>
      <c r="G956" s="4">
        <f t="shared" si="622"/>
        <v>0.82270432925645531</v>
      </c>
      <c r="H956" s="4">
        <f t="shared" si="622"/>
        <v>0.78832667710965598</v>
      </c>
      <c r="I956" s="4">
        <f t="shared" si="622"/>
        <v>0.81816985315828328</v>
      </c>
      <c r="J956" s="4">
        <f t="shared" si="622"/>
        <v>0.81816985315828117</v>
      </c>
      <c r="K956" s="4">
        <f t="shared" si="622"/>
        <v>0.82082893372212995</v>
      </c>
    </row>
    <row r="957" spans="2:11" x14ac:dyDescent="0.35">
      <c r="B957" s="5" t="str">
        <f t="shared" si="618"/>
        <v>SPS3</v>
      </c>
      <c r="C957" s="5" t="str">
        <f t="shared" si="620"/>
        <v>CH</v>
      </c>
      <c r="D957" t="s">
        <v>701</v>
      </c>
      <c r="E957" t="s">
        <v>240</v>
      </c>
      <c r="F957" s="4">
        <f t="shared" ref="F957:K959" si="623">IFERROR(F932/F893,"-")</f>
        <v>0.94680851063829941</v>
      </c>
      <c r="G957" s="4">
        <f t="shared" si="623"/>
        <v>0.94680851063829896</v>
      </c>
      <c r="H957" s="4">
        <f t="shared" si="623"/>
        <v>0.80715908984494755</v>
      </c>
      <c r="I957" s="4">
        <f t="shared" si="623"/>
        <v>0.75145779980338212</v>
      </c>
      <c r="J957" s="4">
        <f t="shared" si="623"/>
        <v>0.3890217934662159</v>
      </c>
      <c r="K957" s="4">
        <f t="shared" si="623"/>
        <v>0.268848768717663</v>
      </c>
    </row>
    <row r="958" spans="2:11" x14ac:dyDescent="0.35">
      <c r="B958" s="5" t="str">
        <f t="shared" si="618"/>
        <v>SPS3</v>
      </c>
      <c r="C958" s="5" t="str">
        <f t="shared" si="620"/>
        <v>CH</v>
      </c>
      <c r="D958" t="s">
        <v>731</v>
      </c>
      <c r="E958" t="s">
        <v>240</v>
      </c>
      <c r="F958" s="4" t="str">
        <f t="shared" si="623"/>
        <v>-</v>
      </c>
      <c r="G958" s="4" t="str">
        <f t="shared" si="623"/>
        <v>-</v>
      </c>
      <c r="H958" s="4">
        <f t="shared" si="623"/>
        <v>1.9300251988996608</v>
      </c>
      <c r="I958" s="4">
        <f t="shared" si="623"/>
        <v>2.0479322218792899</v>
      </c>
      <c r="J958" s="4">
        <f t="shared" si="623"/>
        <v>2.1935771516519531</v>
      </c>
      <c r="K958" s="4">
        <f t="shared" si="623"/>
        <v>2.40016657041763</v>
      </c>
    </row>
    <row r="959" spans="2:11" x14ac:dyDescent="0.35">
      <c r="B959" s="5" t="str">
        <f t="shared" si="618"/>
        <v>SPS3</v>
      </c>
      <c r="C959" s="5" t="str">
        <f t="shared" si="620"/>
        <v>CH</v>
      </c>
      <c r="D959" t="s">
        <v>702</v>
      </c>
      <c r="E959" t="s">
        <v>240</v>
      </c>
      <c r="F959" s="4">
        <f t="shared" si="623"/>
        <v>0.87220000000000142</v>
      </c>
      <c r="G959" s="4">
        <f t="shared" si="623"/>
        <v>0.87219999999999964</v>
      </c>
      <c r="H959" s="4" t="str">
        <f t="shared" si="623"/>
        <v>-</v>
      </c>
      <c r="I959" s="4" t="str">
        <f t="shared" si="623"/>
        <v>-</v>
      </c>
      <c r="J959" s="4" t="str">
        <f t="shared" si="623"/>
        <v>-</v>
      </c>
      <c r="K959" s="4" t="str">
        <f t="shared" si="623"/>
        <v>-</v>
      </c>
    </row>
    <row r="960" spans="2:11" x14ac:dyDescent="0.35">
      <c r="B960" s="5" t="str">
        <f t="shared" si="618"/>
        <v>SPS3</v>
      </c>
      <c r="C960" s="5" t="str">
        <f>C959</f>
        <v>CH</v>
      </c>
      <c r="D960" t="s">
        <v>703</v>
      </c>
      <c r="E960" t="s">
        <v>240</v>
      </c>
      <c r="F960" s="4">
        <f t="shared" ref="F960:K965" si="624">IFERROR(F937/F905,"-")</f>
        <v>0.98999999999999988</v>
      </c>
      <c r="G960" s="4">
        <f t="shared" si="624"/>
        <v>0.99</v>
      </c>
      <c r="H960" s="4">
        <f t="shared" si="624"/>
        <v>0</v>
      </c>
      <c r="I960" s="4">
        <f t="shared" si="624"/>
        <v>0</v>
      </c>
      <c r="J960" s="4">
        <f t="shared" si="624"/>
        <v>0</v>
      </c>
      <c r="K960" s="4">
        <f t="shared" si="624"/>
        <v>0</v>
      </c>
    </row>
    <row r="961" spans="2:11" x14ac:dyDescent="0.35">
      <c r="B961" s="5" t="str">
        <f t="shared" si="618"/>
        <v>SPS3</v>
      </c>
      <c r="C961" s="5" t="str">
        <f t="shared" si="620"/>
        <v>CH</v>
      </c>
      <c r="D961" t="s">
        <v>704</v>
      </c>
      <c r="E961" t="s">
        <v>240</v>
      </c>
      <c r="F961" s="4">
        <f t="shared" si="624"/>
        <v>0.99</v>
      </c>
      <c r="G961" s="4">
        <f t="shared" si="624"/>
        <v>0.99</v>
      </c>
      <c r="H961" s="4">
        <f t="shared" si="624"/>
        <v>0</v>
      </c>
      <c r="I961" s="4">
        <f t="shared" si="624"/>
        <v>0</v>
      </c>
      <c r="J961" s="4">
        <f t="shared" si="624"/>
        <v>0</v>
      </c>
      <c r="K961" s="4">
        <f t="shared" si="624"/>
        <v>0</v>
      </c>
    </row>
    <row r="962" spans="2:11" x14ac:dyDescent="0.35">
      <c r="B962" s="5" t="str">
        <f t="shared" si="618"/>
        <v>SPS3</v>
      </c>
      <c r="C962" s="5" t="str">
        <f t="shared" si="620"/>
        <v>CH</v>
      </c>
      <c r="D962" t="s">
        <v>705</v>
      </c>
      <c r="E962" t="s">
        <v>240</v>
      </c>
      <c r="F962" s="4" t="str">
        <f t="shared" si="624"/>
        <v>-</v>
      </c>
      <c r="G962" s="4" t="str">
        <f t="shared" si="624"/>
        <v>-</v>
      </c>
      <c r="H962" s="4" t="str">
        <f t="shared" si="624"/>
        <v>-</v>
      </c>
      <c r="I962" s="4">
        <f t="shared" si="624"/>
        <v>0</v>
      </c>
      <c r="J962" s="4">
        <f t="shared" si="624"/>
        <v>0</v>
      </c>
      <c r="K962" s="4">
        <f t="shared" si="624"/>
        <v>0</v>
      </c>
    </row>
    <row r="963" spans="2:11" x14ac:dyDescent="0.35">
      <c r="B963" s="5" t="str">
        <f t="shared" si="618"/>
        <v>SPS3</v>
      </c>
      <c r="C963" s="5" t="str">
        <f t="shared" si="620"/>
        <v>CH</v>
      </c>
      <c r="D963" t="s">
        <v>706</v>
      </c>
      <c r="E963" t="s">
        <v>240</v>
      </c>
      <c r="F963" s="4" t="str">
        <f t="shared" si="624"/>
        <v>-</v>
      </c>
      <c r="G963" s="4" t="str">
        <f t="shared" si="624"/>
        <v>-</v>
      </c>
      <c r="H963" s="4" t="str">
        <f t="shared" si="624"/>
        <v>-</v>
      </c>
      <c r="I963" s="4">
        <f t="shared" si="624"/>
        <v>0</v>
      </c>
      <c r="J963" s="4">
        <f t="shared" si="624"/>
        <v>0</v>
      </c>
      <c r="K963" s="4">
        <f t="shared" si="624"/>
        <v>0</v>
      </c>
    </row>
    <row r="964" spans="2:11" x14ac:dyDescent="0.35">
      <c r="B964" s="5" t="str">
        <f t="shared" si="618"/>
        <v>SPS3</v>
      </c>
      <c r="C964" s="5" t="str">
        <f t="shared" si="620"/>
        <v>CH</v>
      </c>
      <c r="D964" t="s">
        <v>707</v>
      </c>
      <c r="E964" t="s">
        <v>240</v>
      </c>
      <c r="F964" s="4" t="str">
        <f t="shared" si="624"/>
        <v>-</v>
      </c>
      <c r="G964" s="4" t="str">
        <f t="shared" si="624"/>
        <v>-</v>
      </c>
      <c r="H964" s="4" t="str">
        <f t="shared" si="624"/>
        <v>-</v>
      </c>
      <c r="I964" s="4">
        <f t="shared" si="624"/>
        <v>0</v>
      </c>
      <c r="J964" s="4">
        <f t="shared" si="624"/>
        <v>0</v>
      </c>
      <c r="K964" s="4">
        <f t="shared" si="624"/>
        <v>0</v>
      </c>
    </row>
    <row r="965" spans="2:11" x14ac:dyDescent="0.35">
      <c r="B965" s="5" t="str">
        <f t="shared" si="618"/>
        <v>SPS3</v>
      </c>
      <c r="C965" s="5" t="str">
        <f t="shared" si="620"/>
        <v>CH</v>
      </c>
      <c r="D965" t="s">
        <v>996</v>
      </c>
      <c r="E965" t="s">
        <v>240</v>
      </c>
      <c r="F965" s="4">
        <f t="shared" si="624"/>
        <v>0.98999999999999932</v>
      </c>
      <c r="G965" s="4">
        <f t="shared" si="624"/>
        <v>0.99</v>
      </c>
      <c r="H965" s="4">
        <f t="shared" si="624"/>
        <v>0.82100908040016862</v>
      </c>
      <c r="I965" s="4">
        <f t="shared" si="624"/>
        <v>0.82940238896210106</v>
      </c>
      <c r="J965" s="4">
        <f t="shared" si="624"/>
        <v>0.82940238896210128</v>
      </c>
      <c r="K965" s="4">
        <f t="shared" si="624"/>
        <v>0.82940238896210217</v>
      </c>
    </row>
    <row r="966" spans="2:11" x14ac:dyDescent="0.35">
      <c r="B966" s="5" t="str">
        <f t="shared" si="618"/>
        <v>SPS3</v>
      </c>
      <c r="C966" s="5" t="str">
        <f t="shared" si="620"/>
        <v>CH</v>
      </c>
      <c r="D966" t="s">
        <v>997</v>
      </c>
      <c r="E966" t="s">
        <v>240</v>
      </c>
      <c r="F966" s="4">
        <f t="shared" ref="F966:K966" si="625">IFERROR(F944/F911,"-")</f>
        <v>0.71999999999999953</v>
      </c>
      <c r="G966" s="4">
        <f t="shared" si="625"/>
        <v>0.7200000000000002</v>
      </c>
      <c r="H966" s="4">
        <f t="shared" si="625"/>
        <v>0.67353198383825219</v>
      </c>
      <c r="I966" s="4">
        <f t="shared" si="625"/>
        <v>0.6738893029750781</v>
      </c>
      <c r="J966" s="4">
        <f t="shared" si="625"/>
        <v>0.67394278161892884</v>
      </c>
      <c r="K966" s="4">
        <f t="shared" si="625"/>
        <v>0.7100990108981371</v>
      </c>
    </row>
    <row r="967" spans="2:11" x14ac:dyDescent="0.35">
      <c r="B967" s="5" t="str">
        <f t="shared" si="618"/>
        <v>SPS3</v>
      </c>
      <c r="C967" s="5" t="str">
        <f t="shared" si="620"/>
        <v>CH</v>
      </c>
      <c r="D967" t="s">
        <v>998</v>
      </c>
      <c r="E967" t="s">
        <v>240</v>
      </c>
      <c r="F967" s="4">
        <f t="shared" ref="F967:K967" si="626">IFERROR(F946/F914,"-")</f>
        <v>0.89999999999999891</v>
      </c>
      <c r="G967" s="4">
        <f t="shared" si="626"/>
        <v>0.89999999999999902</v>
      </c>
      <c r="H967" s="4">
        <f t="shared" si="626"/>
        <v>0.65555339531919687</v>
      </c>
      <c r="I967" s="4">
        <f t="shared" si="626"/>
        <v>0.65555339531919721</v>
      </c>
      <c r="J967" s="4">
        <f t="shared" si="626"/>
        <v>0.65555339531919699</v>
      </c>
      <c r="K967" s="4">
        <f t="shared" si="626"/>
        <v>0.69355392519241099</v>
      </c>
    </row>
    <row r="968" spans="2:11" x14ac:dyDescent="0.35">
      <c r="B968" s="5" t="str">
        <f t="shared" si="618"/>
        <v>SPS3</v>
      </c>
      <c r="C968" s="5" t="str">
        <f t="shared" si="620"/>
        <v>CH</v>
      </c>
      <c r="D968" t="s">
        <v>999</v>
      </c>
      <c r="E968" t="s">
        <v>240</v>
      </c>
      <c r="F968" s="4">
        <f t="shared" ref="F968:K968" si="627">IFERROR(F948/F916,"-")</f>
        <v>1</v>
      </c>
      <c r="G968" s="4">
        <f t="shared" si="627"/>
        <v>1</v>
      </c>
      <c r="H968" s="4">
        <f t="shared" si="627"/>
        <v>1</v>
      </c>
      <c r="I968" s="4">
        <f t="shared" si="627"/>
        <v>1</v>
      </c>
      <c r="J968" s="4">
        <f t="shared" si="627"/>
        <v>1</v>
      </c>
      <c r="K968" s="4">
        <f t="shared" si="627"/>
        <v>1</v>
      </c>
    </row>
    <row r="969" spans="2:11" x14ac:dyDescent="0.35">
      <c r="B969" s="5" t="str">
        <f t="shared" si="618"/>
        <v>SPS3</v>
      </c>
      <c r="C969" s="5" t="str">
        <f t="shared" si="620"/>
        <v>CH</v>
      </c>
      <c r="D969" t="s">
        <v>1000</v>
      </c>
      <c r="E969" t="s">
        <v>240</v>
      </c>
      <c r="F969" s="4" t="str">
        <f t="shared" ref="F969:K969" si="628">IFERROR(F950/F920,"-")</f>
        <v>-</v>
      </c>
      <c r="G969" s="4" t="str">
        <f t="shared" si="628"/>
        <v>-</v>
      </c>
      <c r="H969" s="4" t="str">
        <f t="shared" si="628"/>
        <v>-</v>
      </c>
      <c r="I969" s="4">
        <f t="shared" si="628"/>
        <v>0</v>
      </c>
      <c r="J969" s="4">
        <f t="shared" si="628"/>
        <v>0</v>
      </c>
      <c r="K969" s="4">
        <f t="shared" si="628"/>
        <v>0</v>
      </c>
    </row>
    <row r="970" spans="2:11" x14ac:dyDescent="0.35">
      <c r="B970" s="9" t="str">
        <f t="shared" si="618"/>
        <v>SPS3</v>
      </c>
      <c r="C970" s="9" t="str">
        <f>C922</f>
        <v>CH</v>
      </c>
      <c r="D970" s="2" t="s">
        <v>740</v>
      </c>
      <c r="E970" s="9" t="s">
        <v>8</v>
      </c>
      <c r="F970" s="3">
        <f>[1]Residential!B$26</f>
        <v>219.86740088572449</v>
      </c>
      <c r="G970" s="3">
        <f>[1]Residential!C$26</f>
        <v>216.38751629293625</v>
      </c>
      <c r="H970" s="3">
        <f>[1]Residential!D$26</f>
        <v>219.31662695682789</v>
      </c>
      <c r="I970" s="3">
        <f>[1]Residential!E$26</f>
        <v>196.25134091715347</v>
      </c>
      <c r="J970" s="3">
        <f>[1]Residential!F$26</f>
        <v>167.87962807759533</v>
      </c>
      <c r="K970" s="3">
        <f>[1]Residential!G$26</f>
        <v>143.04504581429575</v>
      </c>
    </row>
    <row r="971" spans="2:11" x14ac:dyDescent="0.35">
      <c r="B971" s="5" t="str">
        <f t="shared" si="618"/>
        <v>SPS3</v>
      </c>
      <c r="C971" s="5" t="str">
        <f>C970</f>
        <v>CH</v>
      </c>
      <c r="D971" t="s">
        <v>1001</v>
      </c>
      <c r="E971" t="s">
        <v>8</v>
      </c>
      <c r="F971" s="1">
        <f>[1]Residential!B$15</f>
        <v>69.470269222058675</v>
      </c>
      <c r="G971" s="1">
        <f>[1]Residential!C$15</f>
        <v>70.028562463063054</v>
      </c>
      <c r="H971" s="1">
        <f>[1]Residential!D$15</f>
        <v>70.551896261027053</v>
      </c>
      <c r="I971" s="1">
        <f>[1]Residential!E$15</f>
        <v>69.618719053938435</v>
      </c>
      <c r="J971" s="1">
        <f>[1]Residential!F$15</f>
        <v>67.022143639424229</v>
      </c>
      <c r="K971" s="1">
        <f>[1]Residential!G$15</f>
        <v>57.32049340508204</v>
      </c>
    </row>
    <row r="972" spans="2:11" x14ac:dyDescent="0.35">
      <c r="B972" s="5" t="str">
        <f t="shared" si="618"/>
        <v>SPS3</v>
      </c>
      <c r="C972" s="5" t="str">
        <f>C971</f>
        <v>CH</v>
      </c>
      <c r="D972" t="s">
        <v>1002</v>
      </c>
      <c r="E972" t="s">
        <v>8</v>
      </c>
      <c r="F972" s="1">
        <f>SUM(F973:F974)</f>
        <v>15.333355440445345</v>
      </c>
      <c r="G972" s="1">
        <f t="shared" ref="G972:K972" si="629">SUM(G973:G974)</f>
        <v>15.082037394882057</v>
      </c>
      <c r="H972" s="1">
        <f t="shared" si="629"/>
        <v>12.205881505272895</v>
      </c>
      <c r="I972" s="1">
        <f t="shared" si="629"/>
        <v>15.143472644790812</v>
      </c>
      <c r="J972" s="1">
        <f t="shared" si="629"/>
        <v>17.211805145749164</v>
      </c>
      <c r="K972" s="1">
        <f t="shared" si="629"/>
        <v>14.273463421121983</v>
      </c>
    </row>
    <row r="973" spans="2:11" x14ac:dyDescent="0.35">
      <c r="B973" s="5" t="str">
        <f t="shared" si="618"/>
        <v>SPS3</v>
      </c>
      <c r="C973" s="5" t="str">
        <f t="shared" ref="C973" si="630">C972</f>
        <v>CH</v>
      </c>
      <c r="D973" t="s">
        <v>762</v>
      </c>
      <c r="E973" t="s">
        <v>8</v>
      </c>
      <c r="F973" s="1" cm="1">
        <f t="array" ref="F973">SUMPRODUCT(([1]OUT_FinalEnergyCons!$B$4:$B$10000="Var_Fin")*1,ISNUMBER(SEARCH("R*_ELC",[1]OUT_FinalEnergyCons!$C$4:$C$10000))*1, (ISNUMBER(SEARCH("RH*-SHELCBR",[1]OUT_FinalEnergyCons!$A$4:$A$10000)))*1,[1]OUT_FinalEnergyCons!D$4:D$10000)</f>
        <v>9.3769620364505855</v>
      </c>
      <c r="G973" s="1" cm="1">
        <f t="array" ref="G973">SUMPRODUCT(([1]OUT_FinalEnergyCons!$B$4:$B$10000="Var_Fin")*1,ISNUMBER(SEARCH("R*_ELC",[1]OUT_FinalEnergyCons!$C$4:$C$10000))*1, (ISNUMBER(SEARCH("RH*-SHELCBR",[1]OUT_FinalEnergyCons!$A$4:$A$10000)))*1,[1]OUT_FinalEnergyCons!E$4:E$10000)</f>
        <v>8.2976479744086316</v>
      </c>
      <c r="H973" s="1" cm="1">
        <f t="array" ref="H973">SUMPRODUCT(([1]OUT_FinalEnergyCons!$B$4:$B$10000="Var_Fin")*1,ISNUMBER(SEARCH("R*_ELC",[1]OUT_FinalEnergyCons!$C$4:$C$10000))*1, (ISNUMBER(SEARCH("RH*-SHELCBR",[1]OUT_FinalEnergyCons!$A$4:$A$10000)))*1,[1]OUT_FinalEnergyCons!F$4:F$10000)</f>
        <v>0.9062085250448586</v>
      </c>
      <c r="I973" s="1" cm="1">
        <f t="array" ref="I973">SUMPRODUCT(([1]OUT_FinalEnergyCons!$B$4:$B$10000="Var_Fin")*1,ISNUMBER(SEARCH("R*_ELC",[1]OUT_FinalEnergyCons!$C$4:$C$10000))*1, (ISNUMBER(SEARCH("RH*-SHELCBR",[1]OUT_FinalEnergyCons!$A$4:$A$10000)))*1,[1]OUT_FinalEnergyCons!G$4:G$10000)</f>
        <v>0.16363860746272779</v>
      </c>
      <c r="J973" s="1" cm="1">
        <f t="array" ref="J973">SUMPRODUCT(([1]OUT_FinalEnergyCons!$B$4:$B$10000="Var_Fin")*1,ISNUMBER(SEARCH("R*_ELC",[1]OUT_FinalEnergyCons!$C$4:$C$10000))*1, (ISNUMBER(SEARCH("RH*-SHELCBR",[1]OUT_FinalEnergyCons!$A$4:$A$10000)))*1,[1]OUT_FinalEnergyCons!H$4:H$10000)</f>
        <v>1.592428770764464E-2</v>
      </c>
      <c r="K973" s="1" cm="1">
        <f t="array" ref="K973">SUMPRODUCT(([1]OUT_FinalEnergyCons!$B$4:$B$10000="Var_Fin")*1,ISNUMBER(SEARCH("R*_ELC",[1]OUT_FinalEnergyCons!$C$4:$C$10000))*1, (ISNUMBER(SEARCH("RH*-SHELCBR",[1]OUT_FinalEnergyCons!$A$4:$A$10000)))*1,[1]OUT_FinalEnergyCons!I$4:I$10000)</f>
        <v>8.696624621013645E-3</v>
      </c>
    </row>
    <row r="974" spans="2:11" x14ac:dyDescent="0.35">
      <c r="B974" s="5" t="str">
        <f t="shared" si="618"/>
        <v>SPS3</v>
      </c>
      <c r="C974" s="5" t="str">
        <f t="shared" ref="C974:C978" si="631">C973</f>
        <v>CH</v>
      </c>
      <c r="D974" t="s">
        <v>732</v>
      </c>
      <c r="E974" t="s">
        <v>8</v>
      </c>
      <c r="F974" s="1" cm="1">
        <f t="array" ref="F974">SUMPRODUCT(([1]OUT_FinalEnergyCons!$B$4:$B$10000="Var_Fin")*1,ISNUMBER(SEARCH("R*_ELC",[1]OUT_FinalEnergyCons!$C$4:$C$10000))*1, (ISNUMBER(SEARCH("RH*-SHELCHP",[1]OUT_FinalEnergyCons!$A$4:$A$10000)))*1,[1]OUT_FinalEnergyCons!D$4:D$10000)</f>
        <v>5.9563934039947597</v>
      </c>
      <c r="G974" s="1" cm="1">
        <f t="array" ref="G974">SUMPRODUCT(([1]OUT_FinalEnergyCons!$B$4:$B$10000="Var_Fin")*1,ISNUMBER(SEARCH("R*_ELC",[1]OUT_FinalEnergyCons!$C$4:$C$10000))*1, (ISNUMBER(SEARCH("RH*-SHELCHP",[1]OUT_FinalEnergyCons!$A$4:$A$10000)))*1,[1]OUT_FinalEnergyCons!E$4:E$10000)</f>
        <v>6.7843894204734267</v>
      </c>
      <c r="H974" s="1" cm="1">
        <f t="array" ref="H974">SUMPRODUCT(([1]OUT_FinalEnergyCons!$B$4:$B$10000="Var_Fin")*1,ISNUMBER(SEARCH("R*_ELC",[1]OUT_FinalEnergyCons!$C$4:$C$10000))*1, (ISNUMBER(SEARCH("RH*-SHELCHP",[1]OUT_FinalEnergyCons!$A$4:$A$10000)))*1,[1]OUT_FinalEnergyCons!F$4:F$10000)</f>
        <v>11.299672980228037</v>
      </c>
      <c r="I974" s="1" cm="1">
        <f t="array" ref="I974">SUMPRODUCT(([1]OUT_FinalEnergyCons!$B$4:$B$10000="Var_Fin")*1,ISNUMBER(SEARCH("R*_ELC",[1]OUT_FinalEnergyCons!$C$4:$C$10000))*1, (ISNUMBER(SEARCH("RH*-SHELCHP",[1]OUT_FinalEnergyCons!$A$4:$A$10000)))*1,[1]OUT_FinalEnergyCons!G$4:G$10000)</f>
        <v>14.979834037328084</v>
      </c>
      <c r="J974" s="1" cm="1">
        <f t="array" ref="J974">SUMPRODUCT(([1]OUT_FinalEnergyCons!$B$4:$B$10000="Var_Fin")*1,ISNUMBER(SEARCH("R*_ELC",[1]OUT_FinalEnergyCons!$C$4:$C$10000))*1, (ISNUMBER(SEARCH("RH*-SHELCHP",[1]OUT_FinalEnergyCons!$A$4:$A$10000)))*1,[1]OUT_FinalEnergyCons!H$4:H$10000)</f>
        <v>17.195880858041519</v>
      </c>
      <c r="K974" s="1" cm="1">
        <f t="array" ref="K974">SUMPRODUCT(([1]OUT_FinalEnergyCons!$B$4:$B$10000="Var_Fin")*1,ISNUMBER(SEARCH("R*_ELC",[1]OUT_FinalEnergyCons!$C$4:$C$10000))*1, (ISNUMBER(SEARCH("RH*-SHELCHP",[1]OUT_FinalEnergyCons!$A$4:$A$10000)))*1,[1]OUT_FinalEnergyCons!I$4:I$10000)</f>
        <v>14.26476679650097</v>
      </c>
    </row>
    <row r="975" spans="2:11" x14ac:dyDescent="0.35">
      <c r="B975" s="5" t="str">
        <f t="shared" si="618"/>
        <v>SPS3</v>
      </c>
      <c r="C975" s="5" t="str">
        <f t="shared" si="631"/>
        <v>CH</v>
      </c>
      <c r="D975" t="s">
        <v>1003</v>
      </c>
      <c r="E975" t="s">
        <v>8</v>
      </c>
      <c r="F975" s="1">
        <f>SUM(F976:F977)</f>
        <v>9.560003501634819</v>
      </c>
      <c r="G975" s="1">
        <f t="shared" ref="G975:K975" si="632">SUM(G976:G977)</f>
        <v>10.085336196754174</v>
      </c>
      <c r="H975" s="1">
        <f t="shared" si="632"/>
        <v>8.8225911913695736</v>
      </c>
      <c r="I975" s="1">
        <f t="shared" si="632"/>
        <v>8.1100350903288039</v>
      </c>
      <c r="J975" s="1">
        <f t="shared" si="632"/>
        <v>9.0700460099040736</v>
      </c>
      <c r="K975" s="1">
        <f t="shared" si="632"/>
        <v>8.559369302719011</v>
      </c>
    </row>
    <row r="976" spans="2:11" x14ac:dyDescent="0.35">
      <c r="B976" s="5" t="str">
        <f t="shared" si="618"/>
        <v>SPS3</v>
      </c>
      <c r="C976" s="5" t="str">
        <f t="shared" si="631"/>
        <v>CH</v>
      </c>
      <c r="D976" t="s">
        <v>763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(ISNUMBER(SEARCH("RH*-wHELCBR",[1]OUT_FinalEnergyCons!$A$4:$A$10000)))*1,[1]OUT_FinalEnergyCons!D$4:D$10000)</f>
        <v>8.4110830242189696</v>
      </c>
      <c r="G976" s="1" cm="1">
        <f t="array" ref="G976">SUMPRODUCT(([1]OUT_FinalEnergyCons!$B$4:$B$10000="Var_Fin")*1,ISNUMBER(SEARCH("R*_ELC",[1]OUT_FinalEnergyCons!$C$4:$C$10000))*1, (ISNUMBER(SEARCH("RH*-wHELCBR",[1]OUT_FinalEnergyCons!$A$4:$A$10000)))*1,[1]OUT_FinalEnergyCons!E$4:E$10000)</f>
        <v>8.7988882096007117</v>
      </c>
      <c r="H976" s="1" cm="1">
        <f t="array" ref="H976">SUMPRODUCT(([1]OUT_FinalEnergyCons!$B$4:$B$10000="Var_Fin")*1,ISNUMBER(SEARCH("R*_ELC",[1]OUT_FinalEnergyCons!$C$4:$C$10000))*1, (ISNUMBER(SEARCH("RH*-wHELCBR",[1]OUT_FinalEnergyCons!$A$4:$A$10000)))*1,[1]OUT_FinalEnergyCons!F$4:F$10000)</f>
        <v>6.04512324606665</v>
      </c>
      <c r="I976" s="1" cm="1">
        <f t="array" ref="I976">SUMPRODUCT(([1]OUT_FinalEnergyCons!$B$4:$B$10000="Var_Fin")*1,ISNUMBER(SEARCH("R*_ELC",[1]OUT_FinalEnergyCons!$C$4:$C$10000))*1, (ISNUMBER(SEARCH("RH*-wHELCBR",[1]OUT_FinalEnergyCons!$A$4:$A$10000)))*1,[1]OUT_FinalEnergyCons!G$4:G$10000)</f>
        <v>3.9457257787695501</v>
      </c>
      <c r="J976" s="1" cm="1">
        <f t="array" ref="J976">SUMPRODUCT(([1]OUT_FinalEnergyCons!$B$4:$B$10000="Var_Fin")*1,ISNUMBER(SEARCH("R*_ELC",[1]OUT_FinalEnergyCons!$C$4:$C$10000))*1, (ISNUMBER(SEARCH("RH*-wHELCBR",[1]OUT_FinalEnergyCons!$A$4:$A$10000)))*1,[1]OUT_FinalEnergyCons!H$4:H$10000)</f>
        <v>3.1465538855251056</v>
      </c>
      <c r="K976" s="1" cm="1">
        <f t="array" ref="K976">SUMPRODUCT(([1]OUT_FinalEnergyCons!$B$4:$B$10000="Var_Fin")*1,ISNUMBER(SEARCH("R*_ELC",[1]OUT_FinalEnergyCons!$C$4:$C$10000))*1, (ISNUMBER(SEARCH("RH*-wHELCBR",[1]OUT_FinalEnergyCons!$A$4:$A$10000)))*1,[1]OUT_FinalEnergyCons!I$4:I$10000)</f>
        <v>2.6359341187598866</v>
      </c>
    </row>
    <row r="977" spans="2:11" x14ac:dyDescent="0.35">
      <c r="B977" s="5" t="str">
        <f t="shared" si="618"/>
        <v>SPS3</v>
      </c>
      <c r="C977" s="5" t="str">
        <f t="shared" si="631"/>
        <v>CH</v>
      </c>
      <c r="D977" t="s">
        <v>733</v>
      </c>
      <c r="E977" t="s">
        <v>8</v>
      </c>
      <c r="F977" s="1" cm="1">
        <f t="array" ref="F977">SUMPRODUCT(([1]OUT_FinalEnergyCons!$B$4:$B$10000="Var_Fin")*1,ISNUMBER(SEARCH("R*_ELC",[1]OUT_FinalEnergyCons!$C$4:$C$10000))*1, (ISNUMBER(SEARCH("RH*-wHELCHP",[1]OUT_FinalEnergyCons!$A$4:$A$10000)))*1,[1]OUT_FinalEnergyCons!D$4:D$10000)</f>
        <v>1.1489204774158499</v>
      </c>
      <c r="G977" s="1" cm="1">
        <f t="array" ref="G977">SUMPRODUCT(([1]OUT_FinalEnergyCons!$B$4:$B$10000="Var_Fin")*1,ISNUMBER(SEARCH("R*_ELC",[1]OUT_FinalEnergyCons!$C$4:$C$10000))*1, (ISNUMBER(SEARCH("RH*-wHELCHP",[1]OUT_FinalEnergyCons!$A$4:$A$10000)))*1,[1]OUT_FinalEnergyCons!E$4:E$10000)</f>
        <v>1.2864479871534611</v>
      </c>
      <c r="H977" s="1" cm="1">
        <f t="array" ref="H977">SUMPRODUCT(([1]OUT_FinalEnergyCons!$B$4:$B$10000="Var_Fin")*1,ISNUMBER(SEARCH("R*_ELC",[1]OUT_FinalEnergyCons!$C$4:$C$10000))*1, (ISNUMBER(SEARCH("RH*-wHELCHP",[1]OUT_FinalEnergyCons!$A$4:$A$10000)))*1,[1]OUT_FinalEnergyCons!F$4:F$10000)</f>
        <v>2.7774679453029241</v>
      </c>
      <c r="I977" s="1" cm="1">
        <f t="array" ref="I977">SUMPRODUCT(([1]OUT_FinalEnergyCons!$B$4:$B$10000="Var_Fin")*1,ISNUMBER(SEARCH("R*_ELC",[1]OUT_FinalEnergyCons!$C$4:$C$10000))*1, (ISNUMBER(SEARCH("RH*-wHELCHP",[1]OUT_FinalEnergyCons!$A$4:$A$10000)))*1,[1]OUT_FinalEnergyCons!G$4:G$10000)</f>
        <v>4.1643093115592533</v>
      </c>
      <c r="J977" s="1" cm="1">
        <f t="array" ref="J977">SUMPRODUCT(([1]OUT_FinalEnergyCons!$B$4:$B$10000="Var_Fin")*1,ISNUMBER(SEARCH("R*_ELC",[1]OUT_FinalEnergyCons!$C$4:$C$10000))*1, (ISNUMBER(SEARCH("RH*-wHELCHP",[1]OUT_FinalEnergyCons!$A$4:$A$10000)))*1,[1]OUT_FinalEnergyCons!H$4:H$10000)</f>
        <v>5.923492124378968</v>
      </c>
      <c r="K977" s="1" cm="1">
        <f t="array" ref="K977">SUMPRODUCT(([1]OUT_FinalEnergyCons!$B$4:$B$10000="Var_Fin")*1,ISNUMBER(SEARCH("R*_ELC",[1]OUT_FinalEnergyCons!$C$4:$C$10000))*1, (ISNUMBER(SEARCH("RH*-wHELCHP",[1]OUT_FinalEnergyCons!$A$4:$A$10000)))*1,[1]OUT_FinalEnergyCons!I$4:I$10000)</f>
        <v>5.9234351839591239</v>
      </c>
    </row>
    <row r="978" spans="2:11" x14ac:dyDescent="0.35">
      <c r="B978" s="5" t="str">
        <f t="shared" si="618"/>
        <v>SPS3</v>
      </c>
      <c r="C978" s="5" t="str">
        <f t="shared" si="631"/>
        <v>CH</v>
      </c>
      <c r="D978" t="s">
        <v>1004</v>
      </c>
      <c r="E978" t="s">
        <v>8</v>
      </c>
      <c r="F978" s="1">
        <f>[1]Residential!B$3-([1]Residential!B$10-[1]Residential!B$244)</f>
        <v>44.576910279978513</v>
      </c>
      <c r="G978" s="1">
        <f>[1]Residential!C$3-([1]Residential!C$10-[1]Residential!C$244)</f>
        <v>44.861188871426826</v>
      </c>
      <c r="H978" s="1">
        <f>[1]Residential!D$3-([1]Residential!D$10-[1]Residential!D$244)</f>
        <v>49.523423564384593</v>
      </c>
      <c r="I978" s="1">
        <f>[1]Residential!E$3-([1]Residential!E$10-[1]Residential!E$244)</f>
        <v>46.365211318818822</v>
      </c>
      <c r="J978" s="1">
        <f>[1]Residential!F$3-([1]Residential!F$10-[1]Residential!F$244)</f>
        <v>40.740292483770993</v>
      </c>
      <c r="K978" s="1">
        <f>[1]Residential!G$3-([1]Residential!G$10-[1]Residential!G$244)</f>
        <v>34.487660681241046</v>
      </c>
    </row>
    <row r="979" spans="2:11" x14ac:dyDescent="0.35">
      <c r="B979" s="5" t="str">
        <f t="shared" si="618"/>
        <v>SPS3</v>
      </c>
      <c r="C979" s="5" t="str">
        <f>C978</f>
        <v>CH</v>
      </c>
      <c r="D979" t="s">
        <v>676</v>
      </c>
      <c r="E979" t="s">
        <v>8</v>
      </c>
      <c r="F979" s="1">
        <f>SUM([1]Residential!B$16:B$17)</f>
        <v>60.231933613930167</v>
      </c>
      <c r="G979" s="1">
        <f>SUM([1]Residential!C$16:C$17)</f>
        <v>50.974975477872746</v>
      </c>
      <c r="H979" s="1">
        <f>SUM([1]Residential!D$16:D$17)</f>
        <v>48.498437329824192</v>
      </c>
      <c r="I979" s="1">
        <f>SUM([1]Residential!E$16:E$17)</f>
        <v>21.348629642502804</v>
      </c>
      <c r="J979" s="1">
        <f>SUM([1]Residential!F$16:F$17)</f>
        <v>3.1750896530400539</v>
      </c>
      <c r="K979" s="1">
        <f>SUM([1]Residential!G$16:G$17)</f>
        <v>0.15001641114774211</v>
      </c>
    </row>
    <row r="980" spans="2:11" x14ac:dyDescent="0.35">
      <c r="B980" s="5" t="str">
        <f t="shared" si="618"/>
        <v>SPS3</v>
      </c>
      <c r="C980" s="5" t="str">
        <f t="shared" ref="C980:C991" si="633">C979</f>
        <v>CH</v>
      </c>
      <c r="D980" t="s">
        <v>1005</v>
      </c>
      <c r="E980" t="s">
        <v>8</v>
      </c>
      <c r="F980" s="1">
        <f>[1]Residential!B$16</f>
        <v>60.231933613930167</v>
      </c>
      <c r="G980" s="1">
        <f>[1]Residential!C$16</f>
        <v>50.974975477872746</v>
      </c>
      <c r="H980" s="1">
        <f>[1]Residential!D$16</f>
        <v>48.498313368098877</v>
      </c>
      <c r="I980" s="1">
        <f>[1]Residential!E$16</f>
        <v>21.347685824256729</v>
      </c>
      <c r="J980" s="1">
        <f>[1]Residential!F$16</f>
        <v>3.1741854630984911</v>
      </c>
      <c r="K980" s="1">
        <f>[1]Residential!G$16</f>
        <v>6.4973999166008248E-5</v>
      </c>
    </row>
    <row r="981" spans="2:11" x14ac:dyDescent="0.35">
      <c r="B981" s="5" t="str">
        <f t="shared" si="618"/>
        <v>SPS3</v>
      </c>
      <c r="C981" s="5" t="str">
        <f t="shared" si="633"/>
        <v>CH</v>
      </c>
      <c r="D981" t="s">
        <v>1006</v>
      </c>
      <c r="E981" t="s">
        <v>8</v>
      </c>
      <c r="F981" s="1">
        <f>[1]Residential!B$17</f>
        <v>0</v>
      </c>
      <c r="G981" s="1">
        <f>[1]Residential!C$17</f>
        <v>0</v>
      </c>
      <c r="H981" s="1">
        <f>[1]Residential!D$17</f>
        <v>1.2396172531500919E-4</v>
      </c>
      <c r="I981" s="1">
        <f>[1]Residential!E$17</f>
        <v>9.4381824607408387E-4</v>
      </c>
      <c r="J981" s="1">
        <f>[1]Residential!F$17</f>
        <v>9.0418994156269371E-4</v>
      </c>
      <c r="K981" s="1">
        <f>[1]Residential!G$17</f>
        <v>0.14995143714857612</v>
      </c>
    </row>
    <row r="982" spans="2:11" x14ac:dyDescent="0.35">
      <c r="B982" s="5" t="str">
        <f t="shared" si="618"/>
        <v>SPS3</v>
      </c>
      <c r="C982" s="5" t="str">
        <f t="shared" si="633"/>
        <v>CH</v>
      </c>
      <c r="D982" t="s">
        <v>1007</v>
      </c>
      <c r="E982" t="s">
        <v>8</v>
      </c>
      <c r="F982" s="1">
        <f>SUM(F984,F986)</f>
        <v>50.371493598256592</v>
      </c>
      <c r="G982" s="1">
        <f t="shared" ref="G982:K982" si="634">SUM(G984,G986)</f>
        <v>43.219635233204471</v>
      </c>
      <c r="H982" s="1">
        <f t="shared" si="634"/>
        <v>39.631338010835464</v>
      </c>
      <c r="I982" s="1">
        <f t="shared" si="634"/>
        <v>17.895240118358455</v>
      </c>
      <c r="J982" s="1">
        <f t="shared" si="634"/>
        <v>2.4298249312615838</v>
      </c>
      <c r="K982" s="1">
        <f t="shared" si="634"/>
        <v>0.12799806310136458</v>
      </c>
    </row>
    <row r="983" spans="2:11" x14ac:dyDescent="0.35">
      <c r="B983" s="5" t="str">
        <f t="shared" si="618"/>
        <v>SPS3</v>
      </c>
      <c r="C983" s="5" t="str">
        <f t="shared" si="633"/>
        <v>CH</v>
      </c>
      <c r="D983" t="s">
        <v>708</v>
      </c>
      <c r="E983" t="s">
        <v>8</v>
      </c>
      <c r="F983" s="1" cm="1">
        <f t="array" ref="F983">SUMPRODUCT(([1]OUT_FinalEnergyCons!$B$4:$B$10000="Var_Fin")*1, ([1]OUT_FinalEnergyCons!$C$4:$C$10000="RLFO")*1,(ISNUMBER(SEARCH("RH*-SHLFOBR",[1]OUT_FinalEnergyCons!$A$4:$A$10000)))*1,[1]OUT_FinalEnergyCons!D$4:D$10000)</f>
        <v>50.371493598256592</v>
      </c>
      <c r="G983" s="1" cm="1">
        <f t="array" ref="G983">SUMPRODUCT(([1]OUT_FinalEnergyCons!$B$4:$B$10000="Var_Fin")*1, ([1]OUT_FinalEnergyCons!$C$4:$C$10000="RLFO")*1,(ISNUMBER(SEARCH("RH*-SHLFOBR",[1]OUT_FinalEnergyCons!$A$4:$A$10000)))*1,[1]OUT_FinalEnergyCons!E$4:E$10000)</f>
        <v>43.219635233204471</v>
      </c>
      <c r="H983" s="1" cm="1">
        <f t="array" ref="H983">SUMPRODUCT(([1]OUT_FinalEnergyCons!$B$4:$B$10000="Var_Fin")*1, ([1]OUT_FinalEnergyCons!$C$4:$C$10000="RLFO")*1,(ISNUMBER(SEARCH("RH*-SHLFOBR",[1]OUT_FinalEnergyCons!$A$4:$A$10000)))*1,[1]OUT_FinalEnergyCons!F$4:F$10000)</f>
        <v>39.631338010835464</v>
      </c>
      <c r="I983" s="1" cm="1">
        <f t="array" ref="I983">SUMPRODUCT(([1]OUT_FinalEnergyCons!$B$4:$B$10000="Var_Fin")*1, ([1]OUT_FinalEnergyCons!$C$4:$C$10000="RLFO")*1,(ISNUMBER(SEARCH("RH*-SHLFOBR",[1]OUT_FinalEnergyCons!$A$4:$A$10000)))*1,[1]OUT_FinalEnergyCons!G$4:G$10000)</f>
        <v>17.895240118358455</v>
      </c>
      <c r="J983" s="1" cm="1">
        <f t="array" ref="J983">SUMPRODUCT(([1]OUT_FinalEnergyCons!$B$4:$B$10000="Var_Fin")*1, ([1]OUT_FinalEnergyCons!$C$4:$C$10000="RLFO")*1,(ISNUMBER(SEARCH("RH*-SHLFOBR",[1]OUT_FinalEnergyCons!$A$4:$A$10000)))*1,[1]OUT_FinalEnergyCons!H$4:H$10000)</f>
        <v>2.4298249312615838</v>
      </c>
      <c r="K983" s="1" cm="1">
        <f t="array" ref="K983">SUMPRODUCT(([1]OUT_FinalEnergyCons!$B$4:$B$10000="Var_Fin")*1, ([1]OUT_FinalEnergyCons!$C$4:$C$10000="RLFO")*1,(ISNUMBER(SEARCH("RH*-SHLFOBR",[1]OUT_FinalEnergyCons!$A$4:$A$10000)))*1,[1]OUT_FinalEnergyCons!I$4:I$10000)</f>
        <v>0.12799806310136458</v>
      </c>
    </row>
    <row r="984" spans="2:11" x14ac:dyDescent="0.35">
      <c r="B984" s="5" t="str">
        <f t="shared" si="618"/>
        <v>SPS3</v>
      </c>
      <c r="C984" s="5" t="str">
        <f t="shared" si="633"/>
        <v>CH</v>
      </c>
      <c r="D984" t="s">
        <v>1008</v>
      </c>
      <c r="E984" t="s">
        <v>8</v>
      </c>
      <c r="F984" s="1">
        <f>F985</f>
        <v>50.371493598256592</v>
      </c>
      <c r="G984" s="1">
        <f t="shared" ref="G984:K984" si="635">G985</f>
        <v>43.219635233204471</v>
      </c>
      <c r="H984" s="1">
        <f t="shared" si="635"/>
        <v>39.631236713364721</v>
      </c>
      <c r="I984" s="1">
        <f t="shared" si="635"/>
        <v>17.89444897370775</v>
      </c>
      <c r="J984" s="1">
        <f t="shared" si="635"/>
        <v>2.4291329749697348</v>
      </c>
      <c r="K984" s="1">
        <f t="shared" si="635"/>
        <v>5.5437575006432257E-5</v>
      </c>
    </row>
    <row r="985" spans="2:11" x14ac:dyDescent="0.35">
      <c r="B985" s="5" t="str">
        <f t="shared" si="618"/>
        <v>SPS3</v>
      </c>
      <c r="C985" s="5" t="str">
        <f t="shared" si="633"/>
        <v>CH</v>
      </c>
      <c r="D985" t="s">
        <v>709</v>
      </c>
      <c r="E985" t="s">
        <v>8</v>
      </c>
      <c r="F985" s="1">
        <f>F983*IFERROR(F980/F979,0)</f>
        <v>50.371493598256592</v>
      </c>
      <c r="G985" s="1">
        <f t="shared" ref="G985:K985" si="636">G983*IFERROR(G980/G979,0)</f>
        <v>43.219635233204471</v>
      </c>
      <c r="H985" s="1">
        <f t="shared" si="636"/>
        <v>39.631236713364721</v>
      </c>
      <c r="I985" s="1">
        <f t="shared" si="636"/>
        <v>17.89444897370775</v>
      </c>
      <c r="J985" s="1">
        <f t="shared" si="636"/>
        <v>2.4291329749697348</v>
      </c>
      <c r="K985" s="1">
        <f t="shared" si="636"/>
        <v>5.5437575006432257E-5</v>
      </c>
    </row>
    <row r="986" spans="2:11" x14ac:dyDescent="0.35">
      <c r="B986" s="5" t="str">
        <f t="shared" si="618"/>
        <v>SPS3</v>
      </c>
      <c r="C986" s="5" t="str">
        <f t="shared" si="633"/>
        <v>CH</v>
      </c>
      <c r="D986" t="s">
        <v>1009</v>
      </c>
      <c r="E986" t="s">
        <v>8</v>
      </c>
      <c r="F986" s="1">
        <f>F987</f>
        <v>0</v>
      </c>
      <c r="G986" s="1">
        <f t="shared" ref="G986:K986" si="637">G987</f>
        <v>0</v>
      </c>
      <c r="H986" s="1">
        <f t="shared" si="637"/>
        <v>1.0129747074216766E-4</v>
      </c>
      <c r="I986" s="1">
        <f t="shared" si="637"/>
        <v>7.9114465070517781E-4</v>
      </c>
      <c r="J986" s="1">
        <f t="shared" si="637"/>
        <v>6.9195629184903851E-4</v>
      </c>
      <c r="K986" s="1">
        <f t="shared" si="637"/>
        <v>0.12794262552635816</v>
      </c>
    </row>
    <row r="987" spans="2:11" x14ac:dyDescent="0.35">
      <c r="B987" s="5" t="str">
        <f t="shared" si="618"/>
        <v>SPS3</v>
      </c>
      <c r="C987" s="5" t="str">
        <f t="shared" si="633"/>
        <v>CH</v>
      </c>
      <c r="D987" t="s">
        <v>710</v>
      </c>
      <c r="E987" t="s">
        <v>8</v>
      </c>
      <c r="F987" s="1">
        <f>F983-F985</f>
        <v>0</v>
      </c>
      <c r="G987" s="1">
        <f t="shared" ref="G987:K987" si="638">G983-G985</f>
        <v>0</v>
      </c>
      <c r="H987" s="1">
        <f t="shared" si="638"/>
        <v>1.0129747074216766E-4</v>
      </c>
      <c r="I987" s="1">
        <f t="shared" si="638"/>
        <v>7.9114465070517781E-4</v>
      </c>
      <c r="J987" s="1">
        <f t="shared" si="638"/>
        <v>6.9195629184903851E-4</v>
      </c>
      <c r="K987" s="1">
        <f t="shared" si="638"/>
        <v>0.12794262552635816</v>
      </c>
    </row>
    <row r="988" spans="2:11" x14ac:dyDescent="0.35">
      <c r="B988" s="5" t="str">
        <f t="shared" si="618"/>
        <v>SPS3</v>
      </c>
      <c r="C988" s="5" t="str">
        <f t="shared" si="633"/>
        <v>CH</v>
      </c>
      <c r="D988" t="s">
        <v>1010</v>
      </c>
      <c r="E988" t="s">
        <v>8</v>
      </c>
      <c r="F988" s="1">
        <f>F989</f>
        <v>9.860440015673575</v>
      </c>
      <c r="G988" s="1">
        <f t="shared" ref="G988:K988" si="639">G989</f>
        <v>7.7553402446682771</v>
      </c>
      <c r="H988" s="1">
        <f t="shared" si="639"/>
        <v>8.8670993189887248</v>
      </c>
      <c r="I988" s="1">
        <f t="shared" si="639"/>
        <v>3.4533895241443457</v>
      </c>
      <c r="J988" s="1">
        <f t="shared" si="639"/>
        <v>0.74526472177847014</v>
      </c>
      <c r="K988" s="1">
        <f t="shared" si="639"/>
        <v>2.2018348046377516E-2</v>
      </c>
    </row>
    <row r="989" spans="2:11" x14ac:dyDescent="0.35">
      <c r="B989" s="5" t="str">
        <f t="shared" si="618"/>
        <v>SPS3</v>
      </c>
      <c r="C989" s="5" t="str">
        <f t="shared" si="633"/>
        <v>CH</v>
      </c>
      <c r="D989" t="s">
        <v>711</v>
      </c>
      <c r="E989" t="s">
        <v>8</v>
      </c>
      <c r="F989" s="1" cm="1">
        <f t="array" ref="F989">SUMPRODUCT(([1]OUT_FinalEnergyCons!$B$4:$B$10000="Var_Fin")*1, ([1]OUT_FinalEnergyCons!$C$4:$C$10000="RLFO")*1,(ISNUMBER(SEARCH("RH*-wHLFOBR",[1]OUT_FinalEnergyCons!$A$4:$A$10000)))*1,[1]OUT_FinalEnergyCons!D$4:D$10000)</f>
        <v>9.860440015673575</v>
      </c>
      <c r="G989" s="1" cm="1">
        <f t="array" ref="G989">SUMPRODUCT(([1]OUT_FinalEnergyCons!$B$4:$B$10000="Var_Fin")*1, ([1]OUT_FinalEnergyCons!$C$4:$C$10000="RLFO")*1,(ISNUMBER(SEARCH("RH*-wHLFOBR",[1]OUT_FinalEnergyCons!$A$4:$A$10000)))*1,[1]OUT_FinalEnergyCons!E$4:E$10000)</f>
        <v>7.7553402446682771</v>
      </c>
      <c r="H989" s="1" cm="1">
        <f t="array" ref="H989">SUMPRODUCT(([1]OUT_FinalEnergyCons!$B$4:$B$10000="Var_Fin")*1, ([1]OUT_FinalEnergyCons!$C$4:$C$10000="RLFO")*1,(ISNUMBER(SEARCH("RH*-wHLFOBR",[1]OUT_FinalEnergyCons!$A$4:$A$10000)))*1,[1]OUT_FinalEnergyCons!F$4:F$10000)</f>
        <v>8.8670993189887248</v>
      </c>
      <c r="I989" s="1" cm="1">
        <f t="array" ref="I989">SUMPRODUCT(([1]OUT_FinalEnergyCons!$B$4:$B$10000="Var_Fin")*1, ([1]OUT_FinalEnergyCons!$C$4:$C$10000="RLFO")*1,(ISNUMBER(SEARCH("RH*-wHLFOBR",[1]OUT_FinalEnergyCons!$A$4:$A$10000)))*1,[1]OUT_FinalEnergyCons!G$4:G$10000)</f>
        <v>3.4533895241443457</v>
      </c>
      <c r="J989" s="1" cm="1">
        <f t="array" ref="J989">SUMPRODUCT(([1]OUT_FinalEnergyCons!$B$4:$B$10000="Var_Fin")*1, ([1]OUT_FinalEnergyCons!$C$4:$C$10000="RLFO")*1,(ISNUMBER(SEARCH("RH*-wHLFOBR",[1]OUT_FinalEnergyCons!$A$4:$A$10000)))*1,[1]OUT_FinalEnergyCons!H$4:H$10000)</f>
        <v>0.74526472177847014</v>
      </c>
      <c r="K989" s="1" cm="1">
        <f t="array" ref="K989">SUMPRODUCT(([1]OUT_FinalEnergyCons!$B$4:$B$10000="Var_Fin")*1, ([1]OUT_FinalEnergyCons!$C$4:$C$10000="RLFO")*1,(ISNUMBER(SEARCH("RH*-wHLFOBR",[1]OUT_FinalEnergyCons!$A$4:$A$10000)))*1,[1]OUT_FinalEnergyCons!I$4:I$10000)</f>
        <v>2.2018348046377516E-2</v>
      </c>
    </row>
    <row r="990" spans="2:11" x14ac:dyDescent="0.35">
      <c r="B990" s="5" t="str">
        <f t="shared" si="618"/>
        <v>SPS3</v>
      </c>
      <c r="C990" s="5" t="str">
        <f t="shared" si="633"/>
        <v>CH</v>
      </c>
      <c r="D990" t="s">
        <v>712</v>
      </c>
      <c r="E990" t="s">
        <v>8</v>
      </c>
      <c r="F990" s="1">
        <f>IFERROR(F980/F979,0)*F989</f>
        <v>9.860440015673575</v>
      </c>
      <c r="G990" s="1">
        <f t="shared" ref="G990:K990" si="640">IFERROR(G980/G979,0)*G989</f>
        <v>7.7553402446682771</v>
      </c>
      <c r="H990" s="1">
        <f t="shared" si="640"/>
        <v>8.8670766547341504</v>
      </c>
      <c r="I990" s="1">
        <f t="shared" si="640"/>
        <v>3.4532368505489783</v>
      </c>
      <c r="J990" s="1">
        <f t="shared" si="640"/>
        <v>0.74505248812875624</v>
      </c>
      <c r="K990" s="1">
        <f t="shared" si="640"/>
        <v>9.5364241595759857E-6</v>
      </c>
    </row>
    <row r="991" spans="2:11" x14ac:dyDescent="0.35">
      <c r="B991" s="5" t="str">
        <f t="shared" si="618"/>
        <v>SPS3</v>
      </c>
      <c r="C991" s="5" t="str">
        <f t="shared" si="633"/>
        <v>CH</v>
      </c>
      <c r="D991" t="s">
        <v>713</v>
      </c>
      <c r="E991" t="s">
        <v>8</v>
      </c>
      <c r="F991" s="1">
        <f>F989-F990</f>
        <v>0</v>
      </c>
      <c r="G991" s="1">
        <f t="shared" ref="G991:K991" si="641">G989-G990</f>
        <v>0</v>
      </c>
      <c r="H991" s="1">
        <f t="shared" si="641"/>
        <v>2.2664254574422671E-5</v>
      </c>
      <c r="I991" s="1">
        <f t="shared" si="641"/>
        <v>1.5267359536741409E-4</v>
      </c>
      <c r="J991" s="1">
        <f t="shared" si="641"/>
        <v>2.1223364971389991E-4</v>
      </c>
      <c r="K991" s="1">
        <f t="shared" si="641"/>
        <v>2.200881162221794E-2</v>
      </c>
    </row>
    <row r="992" spans="2:11" x14ac:dyDescent="0.35">
      <c r="B992" s="5" t="str">
        <f t="shared" si="618"/>
        <v>SPS3</v>
      </c>
      <c r="C992" s="5" t="str">
        <f>C991</f>
        <v>CH</v>
      </c>
      <c r="D992" t="s">
        <v>677</v>
      </c>
      <c r="E992" t="s">
        <v>8</v>
      </c>
      <c r="F992" s="1">
        <f>SUM(F993:F994)</f>
        <v>47.001981846922874</v>
      </c>
      <c r="G992" s="1">
        <f t="shared" ref="G992:K992" si="642">SUM(G993:G994)</f>
        <v>48.271040398958405</v>
      </c>
      <c r="H992" s="1">
        <f t="shared" si="642"/>
        <v>46.07119784146564</v>
      </c>
      <c r="I992" s="1">
        <f t="shared" si="642"/>
        <v>31.401093430927165</v>
      </c>
      <c r="J992" s="1">
        <f t="shared" si="642"/>
        <v>10.795178932070476</v>
      </c>
      <c r="K992" s="1">
        <f t="shared" si="642"/>
        <v>6.2482291001417893</v>
      </c>
    </row>
    <row r="993" spans="2:13" x14ac:dyDescent="0.35">
      <c r="B993" s="5" t="str">
        <f t="shared" si="618"/>
        <v>SPS3</v>
      </c>
      <c r="C993" s="5" t="str">
        <f t="shared" ref="C993:C1053" si="643">C992</f>
        <v>CH</v>
      </c>
      <c r="D993" t="s">
        <v>1011</v>
      </c>
      <c r="E993" t="s">
        <v>8</v>
      </c>
      <c r="F993" s="1">
        <f>[1]Residential!B$18</f>
        <v>46.69326191903027</v>
      </c>
      <c r="G993" s="1">
        <f>[1]Residential!C$18</f>
        <v>45.827693247344023</v>
      </c>
      <c r="H993" s="1">
        <f>[1]Residential!D$18</f>
        <v>45.838244238065926</v>
      </c>
      <c r="I993" s="1">
        <f>[1]Residential!E$18</f>
        <v>31.40038720524667</v>
      </c>
      <c r="J993" s="1">
        <f>[1]Residential!F$18</f>
        <v>7.6540500774882387</v>
      </c>
      <c r="K993" s="1">
        <f>[1]Residential!G$18</f>
        <v>0.15419772459895625</v>
      </c>
    </row>
    <row r="994" spans="2:13" x14ac:dyDescent="0.35">
      <c r="B994" s="5" t="str">
        <f t="shared" si="618"/>
        <v>SPS3</v>
      </c>
      <c r="C994" s="5" t="str">
        <f t="shared" si="643"/>
        <v>CH</v>
      </c>
      <c r="D994" t="s">
        <v>1012</v>
      </c>
      <c r="E994" t="s">
        <v>8</v>
      </c>
      <c r="F994" s="1">
        <f>[1]Residential!B$19</f>
        <v>0.30871992789260305</v>
      </c>
      <c r="G994" s="1">
        <f>[1]Residential!C$19</f>
        <v>2.4433471516143812</v>
      </c>
      <c r="H994" s="1">
        <f>[1]Residential!D$19</f>
        <v>0.23295360339971311</v>
      </c>
      <c r="I994" s="1">
        <f>[1]Residential!E$19</f>
        <v>7.0622568049639664E-4</v>
      </c>
      <c r="J994" s="1">
        <f>[1]Residential!F$19</f>
        <v>3.1411288545822376</v>
      </c>
      <c r="K994" s="1">
        <f>[1]Residential!G$19</f>
        <v>6.0940313755428335</v>
      </c>
    </row>
    <row r="995" spans="2:13" x14ac:dyDescent="0.35">
      <c r="B995" s="5" t="str">
        <f t="shared" si="618"/>
        <v>SPS3</v>
      </c>
      <c r="C995" s="5" t="str">
        <f t="shared" si="643"/>
        <v>CH</v>
      </c>
      <c r="D995" t="s">
        <v>1013</v>
      </c>
      <c r="E995" t="s">
        <v>8</v>
      </c>
      <c r="F995" s="1">
        <f>SUM(F996:F997)</f>
        <v>38.494686620644913</v>
      </c>
      <c r="G995" s="1">
        <f t="shared" ref="G995:K995" si="644">SUM(G996:G997)</f>
        <v>40.922250378607117</v>
      </c>
      <c r="H995" s="1">
        <f t="shared" si="644"/>
        <v>35.935926104025597</v>
      </c>
      <c r="I995" s="1">
        <f t="shared" si="644"/>
        <v>25.215855773588139</v>
      </c>
      <c r="J995" s="1">
        <f t="shared" si="644"/>
        <v>8.05627042907226</v>
      </c>
      <c r="K995" s="1">
        <f t="shared" si="644"/>
        <v>4.6115281558207339</v>
      </c>
    </row>
    <row r="996" spans="2:13" x14ac:dyDescent="0.35">
      <c r="B996" s="5" t="str">
        <f t="shared" si="618"/>
        <v>SPS3</v>
      </c>
      <c r="C996" s="5" t="str">
        <f t="shared" si="643"/>
        <v>CH</v>
      </c>
      <c r="D996" t="s">
        <v>714</v>
      </c>
      <c r="E996" t="s">
        <v>8</v>
      </c>
      <c r="F996" s="1" cm="1">
        <f t="array" ref="F996">SUMPRODUCT(([1]OUT_FinalEnergyCons!$B$4:$B$10000="Var_Fin")*1,([1]OUT_FinalEnergyCons!$C$4:$C$10000="RNGA")*1, (ISNUMBER(SEARCH("RH*-SHNGABR",[1]OUT_FinalEnergyCons!$A$4:$A$10000)))*1,[1]OUT_FinalEnergyCons!D$4:D$10000)</f>
        <v>38.494686620644913</v>
      </c>
      <c r="G996" s="1" cm="1">
        <f t="array" ref="G996">SUMPRODUCT(([1]OUT_FinalEnergyCons!$B$4:$B$10000="Var_Fin")*1,([1]OUT_FinalEnergyCons!$C$4:$C$10000="RNGA")*1, (ISNUMBER(SEARCH("RH*-SHNGABR",[1]OUT_FinalEnergyCons!$A$4:$A$10000)))*1,[1]OUT_FinalEnergyCons!E$4:E$10000)</f>
        <v>40.922250378607117</v>
      </c>
      <c r="H996" s="1" cm="1">
        <f t="array" ref="H996">SUMPRODUCT(([1]OUT_FinalEnergyCons!$B$4:$B$10000="Var_Fin")*1,([1]OUT_FinalEnergyCons!$C$4:$C$10000="RNGA")*1, (ISNUMBER(SEARCH("RH*-SHNGABR",[1]OUT_FinalEnergyCons!$A$4:$A$10000)))*1,[1]OUT_FinalEnergyCons!F$4:F$10000)</f>
        <v>33.649339918745085</v>
      </c>
      <c r="I996" s="1" cm="1">
        <f t="array" ref="I996">SUMPRODUCT(([1]OUT_FinalEnergyCons!$B$4:$B$10000="Var_Fin")*1,([1]OUT_FinalEnergyCons!$C$4:$C$10000="RNGA")*1, (ISNUMBER(SEARCH("RH*-SHNGABR",[1]OUT_FinalEnergyCons!$A$4:$A$10000)))*1,[1]OUT_FinalEnergyCons!G$4:G$10000)</f>
        <v>21.717724789629653</v>
      </c>
      <c r="J996" s="1" cm="1">
        <f t="array" ref="J996">SUMPRODUCT(([1]OUT_FinalEnergyCons!$B$4:$B$10000="Var_Fin")*1,([1]OUT_FinalEnergyCons!$C$4:$C$10000="RNGA")*1, (ISNUMBER(SEARCH("RH*-SHNGABR",[1]OUT_FinalEnergyCons!$A$4:$A$10000)))*1,[1]OUT_FinalEnergyCons!H$4:H$10000)</f>
        <v>3.8377643749805816</v>
      </c>
      <c r="K996" s="1" cm="1">
        <f t="array" ref="K996">SUMPRODUCT(([1]OUT_FinalEnergyCons!$B$4:$B$10000="Var_Fin")*1,([1]OUT_FinalEnergyCons!$C$4:$C$10000="RNGA")*1, (ISNUMBER(SEARCH("RH*-SHNGABR",[1]OUT_FinalEnergyCons!$A$4:$A$10000)))*1,[1]OUT_FinalEnergyCons!I$4:I$10000)</f>
        <v>1.5036683497114953</v>
      </c>
    </row>
    <row r="997" spans="2:13" x14ac:dyDescent="0.35">
      <c r="B997" s="5" t="str">
        <f t="shared" si="618"/>
        <v>SPS3</v>
      </c>
      <c r="C997" s="5" t="str">
        <f t="shared" si="643"/>
        <v>CH</v>
      </c>
      <c r="D997" t="s">
        <v>715</v>
      </c>
      <c r="E997" t="s">
        <v>8</v>
      </c>
      <c r="F997" s="1" cm="1">
        <f t="array" ref="F997">SUMPRODUCT(([1]OUT_FinalEnergyCons!$B$4:$B$10000="Var_Fin")*1, ([1]OUT_FinalEnergyCons!$C$4:$C$10000="RNGA")*1,ISNUMBER(SEARCH("RH*-SHngahp",[1]OUT_FinalEnergyCons!$A$4:$A$10000))*1,[1]OUT_FinalEnergyCons!D$4:D$10000)</f>
        <v>0</v>
      </c>
      <c r="G997" s="1" cm="1">
        <f t="array" ref="G997">SUMPRODUCT(([1]OUT_FinalEnergyCons!$B$4:$B$10000="Var_Fin")*1, ([1]OUT_FinalEnergyCons!$C$4:$C$10000="RNGA")*1,ISNUMBER(SEARCH("RH*-SHngahp",[1]OUT_FinalEnergyCons!$A$4:$A$10000))*1,[1]OUT_FinalEnergyCons!E$4:E$10000)</f>
        <v>0</v>
      </c>
      <c r="H997" s="1" cm="1">
        <f t="array" ref="H997">SUMPRODUCT(([1]OUT_FinalEnergyCons!$B$4:$B$10000="Var_Fin")*1, ([1]OUT_FinalEnergyCons!$C$4:$C$10000="RNGA")*1,ISNUMBER(SEARCH("RH*-SHngahp",[1]OUT_FinalEnergyCons!$A$4:$A$10000))*1,[1]OUT_FinalEnergyCons!F$4:F$10000)</f>
        <v>2.2865861852805098</v>
      </c>
      <c r="I997" s="1" cm="1">
        <f t="array" ref="I997">SUMPRODUCT(([1]OUT_FinalEnergyCons!$B$4:$B$10000="Var_Fin")*1, ([1]OUT_FinalEnergyCons!$C$4:$C$10000="RNGA")*1,ISNUMBER(SEARCH("RH*-SHngahp",[1]OUT_FinalEnergyCons!$A$4:$A$10000))*1,[1]OUT_FinalEnergyCons!G$4:G$10000)</f>
        <v>3.4981309839584869</v>
      </c>
      <c r="J997" s="1" cm="1">
        <f t="array" ref="J997">SUMPRODUCT(([1]OUT_FinalEnergyCons!$B$4:$B$10000="Var_Fin")*1, ([1]OUT_FinalEnergyCons!$C$4:$C$10000="RNGA")*1,ISNUMBER(SEARCH("RH*-SHngahp",[1]OUT_FinalEnergyCons!$A$4:$A$10000))*1,[1]OUT_FinalEnergyCons!H$4:H$10000)</f>
        <v>4.2185060540916792</v>
      </c>
      <c r="K997" s="1" cm="1">
        <f t="array" ref="K997">SUMPRODUCT(([1]OUT_FinalEnergyCons!$B$4:$B$10000="Var_Fin")*1, ([1]OUT_FinalEnergyCons!$C$4:$C$10000="RNGA")*1,ISNUMBER(SEARCH("RH*-SHngahp",[1]OUT_FinalEnergyCons!$A$4:$A$10000))*1,[1]OUT_FinalEnergyCons!I$4:I$10000)</f>
        <v>3.1078598061092388</v>
      </c>
    </row>
    <row r="998" spans="2:13" x14ac:dyDescent="0.35">
      <c r="B998" s="5" t="str">
        <f t="shared" si="618"/>
        <v>SPS3</v>
      </c>
      <c r="C998" s="5" t="str">
        <f t="shared" si="643"/>
        <v>CH</v>
      </c>
      <c r="D998" t="s">
        <v>1014</v>
      </c>
      <c r="E998" t="s">
        <v>8</v>
      </c>
      <c r="F998" s="1">
        <f>SUM(F999:F1000)</f>
        <v>38.241844582696849</v>
      </c>
      <c r="G998" s="1">
        <f t="shared" ref="G998:K998" si="645">SUM(G999:G1000)</f>
        <v>38.850878743071007</v>
      </c>
      <c r="H998" s="1">
        <f t="shared" si="645"/>
        <v>35.754220312345396</v>
      </c>
      <c r="I998" s="1">
        <f t="shared" si="645"/>
        <v>25.215288656874762</v>
      </c>
      <c r="J998" s="1">
        <f t="shared" si="645"/>
        <v>5.712095898541997</v>
      </c>
      <c r="K998" s="1">
        <f t="shared" si="645"/>
        <v>0.1138061900667886</v>
      </c>
    </row>
    <row r="999" spans="2:13" x14ac:dyDescent="0.35">
      <c r="B999" s="5" t="str">
        <f t="shared" si="618"/>
        <v>SPS3</v>
      </c>
      <c r="C999" s="5" t="str">
        <f t="shared" si="643"/>
        <v>CH</v>
      </c>
      <c r="D999" t="s">
        <v>716</v>
      </c>
      <c r="E999" t="s">
        <v>8</v>
      </c>
      <c r="F999" s="1">
        <f>F996-F1002</f>
        <v>38.241844582696849</v>
      </c>
      <c r="G999" s="1">
        <f t="shared" ref="G999:K999" si="646">G996-G1002</f>
        <v>38.850878743071007</v>
      </c>
      <c r="H999" s="1">
        <f t="shared" si="646"/>
        <v>33.479195981679084</v>
      </c>
      <c r="I999" s="1">
        <f t="shared" si="646"/>
        <v>21.71723634756307</v>
      </c>
      <c r="J999" s="1">
        <f t="shared" si="646"/>
        <v>2.7210702941139493</v>
      </c>
      <c r="K999" s="1">
        <f t="shared" si="646"/>
        <v>3.710847255452232E-2</v>
      </c>
    </row>
    <row r="1000" spans="2:13" x14ac:dyDescent="0.35">
      <c r="B1000" s="5" t="str">
        <f t="shared" si="618"/>
        <v>SPS3</v>
      </c>
      <c r="C1000" s="5" t="str">
        <f t="shared" si="643"/>
        <v>CH</v>
      </c>
      <c r="D1000" t="s">
        <v>734</v>
      </c>
      <c r="E1000" t="s">
        <v>8</v>
      </c>
      <c r="F1000" s="1">
        <f>F997-F1003</f>
        <v>0</v>
      </c>
      <c r="G1000" s="1">
        <f t="shared" ref="G1000:K1000" si="647">G997-G1003</f>
        <v>0</v>
      </c>
      <c r="H1000" s="1">
        <f t="shared" si="647"/>
        <v>2.2750243306663092</v>
      </c>
      <c r="I1000" s="1">
        <f t="shared" si="647"/>
        <v>3.4980523093116931</v>
      </c>
      <c r="J1000" s="1">
        <f t="shared" si="647"/>
        <v>2.9910256044280477</v>
      </c>
      <c r="K1000" s="1">
        <f t="shared" si="647"/>
        <v>7.6697717512266284E-2</v>
      </c>
    </row>
    <row r="1001" spans="2:13" x14ac:dyDescent="0.35">
      <c r="B1001" s="5" t="str">
        <f t="shared" si="618"/>
        <v>SPS3</v>
      </c>
      <c r="C1001" s="5" t="str">
        <f t="shared" si="643"/>
        <v>CH</v>
      </c>
      <c r="D1001" t="s">
        <v>1015</v>
      </c>
      <c r="E1001" t="s">
        <v>8</v>
      </c>
      <c r="F1001" s="1">
        <f>SUM(F1002:F1003)</f>
        <v>0.25284203794806315</v>
      </c>
      <c r="G1001" s="1">
        <f t="shared" ref="G1001:K1001" si="648">SUM(G1002:G1003)</f>
        <v>2.0713716355361123</v>
      </c>
      <c r="H1001" s="1">
        <f t="shared" si="648"/>
        <v>0.18170579168019871</v>
      </c>
      <c r="I1001" s="1">
        <f t="shared" si="648"/>
        <v>5.6711671337731067E-4</v>
      </c>
      <c r="J1001" s="1">
        <f t="shared" si="648"/>
        <v>2.3441745305302639</v>
      </c>
      <c r="K1001" s="1">
        <f t="shared" si="648"/>
        <v>4.4977219657539456</v>
      </c>
      <c r="L1001" s="1"/>
    </row>
    <row r="1002" spans="2:13" x14ac:dyDescent="0.35">
      <c r="B1002" s="5" t="str">
        <f t="shared" si="618"/>
        <v>SPS3</v>
      </c>
      <c r="C1002" s="5" t="str">
        <f t="shared" si="643"/>
        <v>CH</v>
      </c>
      <c r="D1002" t="s">
        <v>717</v>
      </c>
      <c r="E1002" t="s">
        <v>8</v>
      </c>
      <c r="F1002" s="1">
        <f>F996*IFERROR(F$994/F$992,0)</f>
        <v>0.25284203794806315</v>
      </c>
      <c r="G1002" s="1">
        <f t="shared" ref="G1002:K1002" si="649">G996*IFERROR(G994/G992,0)</f>
        <v>2.0713716355361123</v>
      </c>
      <c r="H1002" s="1">
        <f t="shared" si="649"/>
        <v>0.17014393706599809</v>
      </c>
      <c r="I1002" s="1">
        <f t="shared" si="649"/>
        <v>4.8844206658369207E-4</v>
      </c>
      <c r="J1002" s="1">
        <f t="shared" si="649"/>
        <v>1.1166940808666321</v>
      </c>
      <c r="K1002" s="1">
        <f t="shared" si="649"/>
        <v>1.466559877156973</v>
      </c>
    </row>
    <row r="1003" spans="2:13" x14ac:dyDescent="0.35">
      <c r="B1003" s="5" t="str">
        <f t="shared" si="618"/>
        <v>SPS3</v>
      </c>
      <c r="C1003" s="5" t="str">
        <f t="shared" si="643"/>
        <v>CH</v>
      </c>
      <c r="D1003" t="s">
        <v>735</v>
      </c>
      <c r="E1003" t="s">
        <v>8</v>
      </c>
      <c r="F1003" s="1">
        <f>F997*IFERROR(F$994/F$992,0)</f>
        <v>0</v>
      </c>
      <c r="G1003" s="1">
        <f t="shared" ref="G1003:K1003" si="650">G997*IFERROR(G$994/G$992,0)</f>
        <v>0</v>
      </c>
      <c r="H1003" s="1">
        <f t="shared" si="650"/>
        <v>1.1561854614200612E-2</v>
      </c>
      <c r="I1003" s="1">
        <f t="shared" si="650"/>
        <v>7.8674646793618595E-5</v>
      </c>
      <c r="J1003" s="1">
        <f t="shared" si="650"/>
        <v>1.2274804496636316</v>
      </c>
      <c r="K1003" s="1">
        <f t="shared" si="650"/>
        <v>3.0311620885969726</v>
      </c>
    </row>
    <row r="1004" spans="2:13" x14ac:dyDescent="0.35">
      <c r="B1004" s="5" t="str">
        <f t="shared" si="618"/>
        <v>SPS3</v>
      </c>
      <c r="C1004" s="5" t="str">
        <f t="shared" si="643"/>
        <v>CH</v>
      </c>
      <c r="D1004" t="s">
        <v>1016</v>
      </c>
      <c r="E1004" t="s">
        <v>8</v>
      </c>
      <c r="F1004" s="1">
        <f>SUM(F1005:F1006)</f>
        <v>8.5072952262779609</v>
      </c>
      <c r="G1004" s="1">
        <f t="shared" ref="G1004:K1004" si="651">SUM(G1005:G1006)</f>
        <v>7.3487900203512879</v>
      </c>
      <c r="H1004" s="1">
        <f t="shared" si="651"/>
        <v>10.135271737440046</v>
      </c>
      <c r="I1004" s="1">
        <f t="shared" si="651"/>
        <v>6.1852376573390258</v>
      </c>
      <c r="J1004" s="1">
        <f t="shared" si="651"/>
        <v>2.738908502998215</v>
      </c>
      <c r="K1004" s="1">
        <f t="shared" si="651"/>
        <v>1.636700944321055</v>
      </c>
      <c r="L1004" s="1"/>
      <c r="M1004" s="19"/>
    </row>
    <row r="1005" spans="2:13" x14ac:dyDescent="0.35">
      <c r="B1005" s="5" t="str">
        <f t="shared" si="618"/>
        <v>SPS3</v>
      </c>
      <c r="C1005" s="5" t="str">
        <f t="shared" si="643"/>
        <v>CH</v>
      </c>
      <c r="D1005" t="s">
        <v>719</v>
      </c>
      <c r="E1005" t="s">
        <v>8</v>
      </c>
      <c r="F1005" s="1">
        <f>F992-F996-F997-F1006</f>
        <v>8.5072952262779609</v>
      </c>
      <c r="G1005" s="1">
        <f t="shared" ref="G1005:K1005" si="652">G992-G996-G997-G1006</f>
        <v>7.3487900203512879</v>
      </c>
      <c r="H1005" s="1">
        <f t="shared" si="652"/>
        <v>9.6444030720739207</v>
      </c>
      <c r="I1005" s="1">
        <f t="shared" si="652"/>
        <v>5.2883506987219269</v>
      </c>
      <c r="J1005" s="1">
        <f t="shared" si="652"/>
        <v>1.3983452333356603</v>
      </c>
      <c r="K1005" s="1">
        <f t="shared" si="652"/>
        <v>0.57614409154091661</v>
      </c>
    </row>
    <row r="1006" spans="2:13" x14ac:dyDescent="0.35">
      <c r="B1006" s="5" t="str">
        <f t="shared" si="618"/>
        <v>SPS3</v>
      </c>
      <c r="C1006" s="5" t="str">
        <f t="shared" si="643"/>
        <v>CH</v>
      </c>
      <c r="D1006" t="s">
        <v>736</v>
      </c>
      <c r="E1006" t="s">
        <v>8</v>
      </c>
      <c r="F1006" s="1" cm="1">
        <f t="array" ref="F1006">SUMPRODUCT(([1]OUT_FinalEnergyCons!$B$4:$B$10000="Var_Fin")*1, ([1]OUT_FinalEnergyCons!$C$4:$C$10000="RNGA")*1,ISNUMBER(SEARCH("RH*-wHngahp",[1]OUT_FinalEnergyCons!$A$4:$A$10000))*1,[1]OUT_FinalEnergyCons!D$4:D$10000)</f>
        <v>0</v>
      </c>
      <c r="G1006" s="1" cm="1">
        <f t="array" ref="G1006">SUMPRODUCT(([1]OUT_FinalEnergyCons!$B$4:$B$10000="Var_Fin")*1, ([1]OUT_FinalEnergyCons!$C$4:$C$10000="RNGA")*1,ISNUMBER(SEARCH("RH*-wHngahp",[1]OUT_FinalEnergyCons!$A$4:$A$10000))*1,[1]OUT_FinalEnergyCons!E$4:E$10000)</f>
        <v>0</v>
      </c>
      <c r="H1006" s="1" cm="1">
        <f t="array" ref="H1006">SUMPRODUCT(([1]OUT_FinalEnergyCons!$B$4:$B$10000="Var_Fin")*1, ([1]OUT_FinalEnergyCons!$C$4:$C$10000="RNGA")*1,ISNUMBER(SEARCH("RH*-wHngahp",[1]OUT_FinalEnergyCons!$A$4:$A$10000))*1,[1]OUT_FinalEnergyCons!F$4:F$10000)</f>
        <v>0.49086866536612572</v>
      </c>
      <c r="I1006" s="1" cm="1">
        <f t="array" ref="I1006">SUMPRODUCT(([1]OUT_FinalEnergyCons!$B$4:$B$10000="Var_Fin")*1, ([1]OUT_FinalEnergyCons!$C$4:$C$10000="RNGA")*1,ISNUMBER(SEARCH("RH*-wHngahp",[1]OUT_FinalEnergyCons!$A$4:$A$10000))*1,[1]OUT_FinalEnergyCons!G$4:G$10000)</f>
        <v>0.89688695861709855</v>
      </c>
      <c r="J1006" s="1" cm="1">
        <f t="array" ref="J1006">SUMPRODUCT(([1]OUT_FinalEnergyCons!$B$4:$B$10000="Var_Fin")*1, ([1]OUT_FinalEnergyCons!$C$4:$C$10000="RNGA")*1,ISNUMBER(SEARCH("RH*-wHngahp",[1]OUT_FinalEnergyCons!$A$4:$A$10000))*1,[1]OUT_FinalEnergyCons!H$4:H$10000)</f>
        <v>1.3405632696625547</v>
      </c>
      <c r="K1006" s="1" cm="1">
        <f t="array" ref="K1006">SUMPRODUCT(([1]OUT_FinalEnergyCons!$B$4:$B$10000="Var_Fin")*1, ([1]OUT_FinalEnergyCons!$C$4:$C$10000="RNGA")*1,ISNUMBER(SEARCH("RH*-wHngahp",[1]OUT_FinalEnergyCons!$A$4:$A$10000))*1,[1]OUT_FinalEnergyCons!I$4:I$10000)</f>
        <v>1.0605568527801383</v>
      </c>
    </row>
    <row r="1007" spans="2:13" x14ac:dyDescent="0.35">
      <c r="B1007" s="5" t="str">
        <f t="shared" si="618"/>
        <v>SPS3</v>
      </c>
      <c r="C1007" s="5" t="str">
        <f t="shared" si="643"/>
        <v>CH</v>
      </c>
      <c r="D1007" t="s">
        <v>1017</v>
      </c>
      <c r="E1007" t="s">
        <v>8</v>
      </c>
      <c r="F1007" s="1">
        <f>SUM(F1008:F1009)</f>
        <v>8.4514173363334208</v>
      </c>
      <c r="G1007" s="1">
        <f t="shared" ref="G1007:K1007" si="653">SUM(G1008:G1009)</f>
        <v>6.976814504273019</v>
      </c>
      <c r="H1007" s="1">
        <f t="shared" si="653"/>
        <v>10.084023925720532</v>
      </c>
      <c r="I1007" s="1">
        <f t="shared" si="653"/>
        <v>6.1850985483719061</v>
      </c>
      <c r="J1007" s="1">
        <f t="shared" si="653"/>
        <v>1.9419541789462413</v>
      </c>
      <c r="K1007" s="1">
        <f t="shared" si="653"/>
        <v>4.0391534532167039E-2</v>
      </c>
    </row>
    <row r="1008" spans="2:13" x14ac:dyDescent="0.35">
      <c r="B1008" s="5" t="str">
        <f t="shared" si="618"/>
        <v>SPS3</v>
      </c>
      <c r="C1008" s="5" t="str">
        <f t="shared" si="643"/>
        <v>CH</v>
      </c>
      <c r="D1008" t="s">
        <v>718</v>
      </c>
      <c r="E1008" t="s">
        <v>8</v>
      </c>
      <c r="F1008" s="1">
        <f>F1005-F1011</f>
        <v>8.4514173363334208</v>
      </c>
      <c r="G1008" s="1">
        <f t="shared" ref="G1008:K1008" si="654">G1005-G1011</f>
        <v>6.976814504273019</v>
      </c>
      <c r="H1008" s="1">
        <f t="shared" si="654"/>
        <v>9.5956372801357563</v>
      </c>
      <c r="I1008" s="1">
        <f t="shared" si="654"/>
        <v>5.2882317611734901</v>
      </c>
      <c r="J1008" s="1">
        <f t="shared" si="654"/>
        <v>0.9914615134142406</v>
      </c>
      <c r="K1008" s="1">
        <f t="shared" si="654"/>
        <v>1.4218445984115036E-2</v>
      </c>
    </row>
    <row r="1009" spans="2:11" x14ac:dyDescent="0.35">
      <c r="B1009" s="5" t="str">
        <f t="shared" si="618"/>
        <v>SPS3</v>
      </c>
      <c r="C1009" s="5" t="str">
        <f t="shared" si="643"/>
        <v>CH</v>
      </c>
      <c r="D1009" t="s">
        <v>737</v>
      </c>
      <c r="E1009" t="s">
        <v>8</v>
      </c>
      <c r="F1009" s="1">
        <f>F1006-F1012</f>
        <v>0</v>
      </c>
      <c r="G1009" s="1">
        <f t="shared" ref="G1009:K1009" si="655">G1006-G1012</f>
        <v>0</v>
      </c>
      <c r="H1009" s="1">
        <f t="shared" si="655"/>
        <v>0.48838664558477485</v>
      </c>
      <c r="I1009" s="1">
        <f t="shared" si="655"/>
        <v>0.89686678719841628</v>
      </c>
      <c r="J1009" s="1">
        <f t="shared" si="655"/>
        <v>0.95049266553200074</v>
      </c>
      <c r="K1009" s="1">
        <f t="shared" si="655"/>
        <v>2.6173088548052004E-2</v>
      </c>
    </row>
    <row r="1010" spans="2:11" x14ac:dyDescent="0.35">
      <c r="B1010" s="5" t="str">
        <f t="shared" si="618"/>
        <v>SPS3</v>
      </c>
      <c r="C1010" s="5" t="str">
        <f t="shared" si="643"/>
        <v>CH</v>
      </c>
      <c r="D1010" t="s">
        <v>1018</v>
      </c>
      <c r="E1010" t="s">
        <v>8</v>
      </c>
      <c r="F1010" s="1">
        <f t="shared" ref="F1010:K1010" si="656">SUM(F1011:F1012)</f>
        <v>5.5877889944539891E-2</v>
      </c>
      <c r="G1010" s="1">
        <f t="shared" si="656"/>
        <v>0.37197551607826868</v>
      </c>
      <c r="H1010" s="1">
        <f t="shared" si="656"/>
        <v>5.1247811719514411E-2</v>
      </c>
      <c r="I1010" s="1">
        <f t="shared" si="656"/>
        <v>1.3910896711908589E-4</v>
      </c>
      <c r="J1010" s="1">
        <f t="shared" si="656"/>
        <v>0.79695432405197364</v>
      </c>
      <c r="K1010" s="1">
        <f t="shared" si="656"/>
        <v>1.5963094097888879</v>
      </c>
    </row>
    <row r="1011" spans="2:11" x14ac:dyDescent="0.35">
      <c r="B1011" s="5" t="str">
        <f t="shared" si="618"/>
        <v>SPS3</v>
      </c>
      <c r="C1011" s="5" t="str">
        <f t="shared" si="643"/>
        <v>CH</v>
      </c>
      <c r="D1011" t="s">
        <v>738</v>
      </c>
      <c r="E1011" t="s">
        <v>8</v>
      </c>
      <c r="F1011" s="1">
        <f>F1005*IFERROR(F$994/F$992,0)</f>
        <v>5.5877889944539891E-2</v>
      </c>
      <c r="G1011" s="1">
        <f t="shared" ref="G1011:K1011" si="657">G1005*IFERROR(G$994/G$992,0)</f>
        <v>0.37197551607826868</v>
      </c>
      <c r="H1011" s="1">
        <f t="shared" si="657"/>
        <v>4.876579193816355E-2</v>
      </c>
      <c r="I1011" s="1">
        <f t="shared" si="657"/>
        <v>1.189375484367715E-4</v>
      </c>
      <c r="J1011" s="1">
        <f t="shared" si="657"/>
        <v>0.4068837199214197</v>
      </c>
      <c r="K1011" s="1">
        <f t="shared" si="657"/>
        <v>0.56192564555680158</v>
      </c>
    </row>
    <row r="1012" spans="2:11" x14ac:dyDescent="0.35">
      <c r="B1012" s="5" t="str">
        <f t="shared" ref="B1012:B1075" si="658">B1011</f>
        <v>SPS3</v>
      </c>
      <c r="C1012" s="5" t="str">
        <f t="shared" si="643"/>
        <v>CH</v>
      </c>
      <c r="D1012" t="s">
        <v>739</v>
      </c>
      <c r="E1012" t="s">
        <v>8</v>
      </c>
      <c r="F1012" s="1">
        <f>F1006*IFERROR(F$994/F$992,0)</f>
        <v>0</v>
      </c>
      <c r="G1012" s="1">
        <f t="shared" ref="G1012:K1012" si="659">G1006*IFERROR(G$994/G$992,0)</f>
        <v>0</v>
      </c>
      <c r="H1012" s="1">
        <f t="shared" si="659"/>
        <v>2.482019781350864E-3</v>
      </c>
      <c r="I1012" s="1">
        <f t="shared" si="659"/>
        <v>2.0171418682314391E-5</v>
      </c>
      <c r="J1012" s="1">
        <f t="shared" si="659"/>
        <v>0.390070604130554</v>
      </c>
      <c r="K1012" s="1">
        <f t="shared" si="659"/>
        <v>1.0343837642320863</v>
      </c>
    </row>
    <row r="1013" spans="2:11" x14ac:dyDescent="0.35">
      <c r="B1013" s="5" t="str">
        <f t="shared" si="658"/>
        <v>SPS3</v>
      </c>
      <c r="C1013" s="5" t="str">
        <f t="shared" si="643"/>
        <v>CH</v>
      </c>
      <c r="D1013" t="s">
        <v>1019</v>
      </c>
      <c r="E1013" t="s">
        <v>8</v>
      </c>
      <c r="F1013" s="1">
        <f>[1]Residential!B$20</f>
        <v>0.10001287977040883</v>
      </c>
      <c r="G1013" s="1">
        <f>[1]Residential!C$20</f>
        <v>0.10000636179598643</v>
      </c>
      <c r="H1013" s="1">
        <f>[1]Residential!D$20</f>
        <v>2.6343309006395383E-2</v>
      </c>
      <c r="I1013" s="1">
        <f>[1]Residential!E$20</f>
        <v>0</v>
      </c>
      <c r="J1013" s="1">
        <f>[1]Residential!F$20</f>
        <v>0</v>
      </c>
      <c r="K1013" s="1">
        <f>[1]Residential!G$20</f>
        <v>0</v>
      </c>
    </row>
    <row r="1014" spans="2:11" x14ac:dyDescent="0.35">
      <c r="B1014" s="5" t="str">
        <f t="shared" si="658"/>
        <v>SPS3</v>
      </c>
      <c r="C1014" s="5" t="str">
        <f t="shared" si="643"/>
        <v>CH</v>
      </c>
      <c r="D1014" t="s">
        <v>1020</v>
      </c>
      <c r="E1014" t="s">
        <v>8</v>
      </c>
      <c r="F1014" s="1">
        <f>F1013</f>
        <v>0.10001287977040883</v>
      </c>
      <c r="G1014" s="1">
        <f t="shared" ref="G1014:G1015" si="660">G1013</f>
        <v>0.10000636179598643</v>
      </c>
      <c r="H1014" s="1">
        <f t="shared" ref="H1014:H1015" si="661">H1013</f>
        <v>2.6343309006395383E-2</v>
      </c>
      <c r="I1014" s="1">
        <f t="shared" ref="I1014:I1015" si="662">I1013</f>
        <v>0</v>
      </c>
      <c r="J1014" s="1">
        <f t="shared" ref="J1014:J1015" si="663">J1013</f>
        <v>0</v>
      </c>
      <c r="K1014" s="1">
        <f t="shared" ref="K1014:K1015" si="664">K1013</f>
        <v>0</v>
      </c>
    </row>
    <row r="1015" spans="2:11" x14ac:dyDescent="0.35">
      <c r="B1015" s="5" t="str">
        <f t="shared" si="658"/>
        <v>SPS3</v>
      </c>
      <c r="C1015" s="5" t="str">
        <f t="shared" si="643"/>
        <v>CH</v>
      </c>
      <c r="D1015" t="s">
        <v>764</v>
      </c>
      <c r="E1015" t="s">
        <v>8</v>
      </c>
      <c r="F1015" s="1">
        <f t="shared" ref="F1015" si="665">F1014</f>
        <v>0.10001287977040883</v>
      </c>
      <c r="G1015" s="1">
        <f t="shared" si="660"/>
        <v>0.10000636179598643</v>
      </c>
      <c r="H1015" s="1">
        <f t="shared" si="661"/>
        <v>2.6343309006395383E-2</v>
      </c>
      <c r="I1015" s="1">
        <f t="shared" si="662"/>
        <v>0</v>
      </c>
      <c r="J1015" s="1">
        <f t="shared" si="663"/>
        <v>0</v>
      </c>
      <c r="K1015" s="1">
        <f t="shared" si="664"/>
        <v>0</v>
      </c>
    </row>
    <row r="1016" spans="2:11" x14ac:dyDescent="0.35">
      <c r="B1016" s="5" t="str">
        <f t="shared" si="658"/>
        <v>SPS3</v>
      </c>
      <c r="C1016" s="5" t="str">
        <f t="shared" si="643"/>
        <v>CH</v>
      </c>
      <c r="D1016" t="s">
        <v>1021</v>
      </c>
      <c r="E1016" t="s">
        <v>8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2:11" x14ac:dyDescent="0.35">
      <c r="B1017" s="5" t="str">
        <f t="shared" si="658"/>
        <v>SPS3</v>
      </c>
      <c r="C1017" s="5" t="str">
        <f t="shared" si="643"/>
        <v>CH</v>
      </c>
      <c r="D1017" t="s">
        <v>765</v>
      </c>
      <c r="E1017" t="s">
        <v>8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2:11" x14ac:dyDescent="0.35">
      <c r="B1018" s="5" t="str">
        <f t="shared" si="658"/>
        <v>SPS3</v>
      </c>
      <c r="C1018" s="5" t="str">
        <f t="shared" si="643"/>
        <v>CH</v>
      </c>
      <c r="D1018" t="s">
        <v>1022</v>
      </c>
      <c r="E1018" t="s">
        <v>8</v>
      </c>
      <c r="F1018" s="1">
        <f>F1019+F1021</f>
        <v>13.723075487394555</v>
      </c>
      <c r="G1018" s="1">
        <f t="shared" ref="G1018:K1018" si="666">G1019+G1021</f>
        <v>12.942394817971165</v>
      </c>
      <c r="H1018" s="1">
        <f t="shared" si="666"/>
        <v>16.815925394831346</v>
      </c>
      <c r="I1018" s="1">
        <f t="shared" si="666"/>
        <v>13.349403413552237</v>
      </c>
      <c r="J1018" s="1">
        <f t="shared" si="666"/>
        <v>7.6868948962439472</v>
      </c>
      <c r="K1018" s="1">
        <f t="shared" si="666"/>
        <v>3.387544581517381</v>
      </c>
    </row>
    <row r="1019" spans="2:11" x14ac:dyDescent="0.35">
      <c r="B1019" s="5" t="str">
        <f t="shared" si="658"/>
        <v>SPS3</v>
      </c>
      <c r="C1019" s="5" t="str">
        <f t="shared" si="643"/>
        <v>CH</v>
      </c>
      <c r="D1019" t="s">
        <v>1023</v>
      </c>
      <c r="E1019" t="s">
        <v>8</v>
      </c>
      <c r="F1019" s="1">
        <f>F1020</f>
        <v>12.682090315802817</v>
      </c>
      <c r="G1019" s="1">
        <f t="shared" ref="G1019:K1019" si="667">G1020</f>
        <v>11.747872946063801</v>
      </c>
      <c r="H1019" s="1">
        <f t="shared" si="667"/>
        <v>14.290619055166376</v>
      </c>
      <c r="I1019" s="1">
        <f t="shared" si="667"/>
        <v>11.219043916172941</v>
      </c>
      <c r="J1019" s="1">
        <f t="shared" si="667"/>
        <v>6.2688978954680632</v>
      </c>
      <c r="K1019" s="1">
        <f t="shared" si="667"/>
        <v>2.6639087083498403</v>
      </c>
    </row>
    <row r="1020" spans="2:11" x14ac:dyDescent="0.35">
      <c r="B1020" s="5" t="str">
        <f t="shared" si="658"/>
        <v>SPS3</v>
      </c>
      <c r="C1020" s="5" t="str">
        <f t="shared" si="643"/>
        <v>CH</v>
      </c>
      <c r="D1020" t="s">
        <v>766</v>
      </c>
      <c r="E1020" t="s">
        <v>8</v>
      </c>
      <c r="F1020" s="1">
        <f>[1]Residential!B$22-F1022-F1023</f>
        <v>12.682090315802817</v>
      </c>
      <c r="G1020" s="1">
        <f>[1]Residential!C$22-G1022-G1023</f>
        <v>11.747872946063801</v>
      </c>
      <c r="H1020" s="1">
        <f>[1]Residential!D$22-H1022-H1023</f>
        <v>14.290619055166376</v>
      </c>
      <c r="I1020" s="1">
        <f>[1]Residential!E$22-I1022-I1023</f>
        <v>11.219043916172941</v>
      </c>
      <c r="J1020" s="1">
        <f>[1]Residential!F$22-J1022-J1023</f>
        <v>6.2688978954680632</v>
      </c>
      <c r="K1020" s="1">
        <f>[1]Residential!G$22-K1022-K1023</f>
        <v>2.6639087083498403</v>
      </c>
    </row>
    <row r="1021" spans="2:11" x14ac:dyDescent="0.35">
      <c r="B1021" s="5" t="str">
        <f t="shared" si="658"/>
        <v>SPS3</v>
      </c>
      <c r="C1021" s="5" t="str">
        <f t="shared" si="643"/>
        <v>CH</v>
      </c>
      <c r="D1021" t="s">
        <v>1024</v>
      </c>
      <c r="E1021" t="s">
        <v>8</v>
      </c>
      <c r="F1021" s="1">
        <f>F1022</f>
        <v>1.0409851715917375</v>
      </c>
      <c r="G1021" s="1">
        <f t="shared" ref="G1021" si="668">G1022</f>
        <v>1.1945218719073636</v>
      </c>
      <c r="H1021" s="1">
        <f t="shared" ref="H1021" si="669">H1022</f>
        <v>2.5253063396649704</v>
      </c>
      <c r="I1021" s="1">
        <f t="shared" ref="I1021" si="670">I1022</f>
        <v>2.1303594973792959</v>
      </c>
      <c r="J1021" s="1">
        <f t="shared" ref="J1021" si="671">J1022</f>
        <v>1.4179970007758844</v>
      </c>
      <c r="K1021" s="1">
        <f t="shared" ref="K1021" si="672">K1022</f>
        <v>0.72363587316754097</v>
      </c>
    </row>
    <row r="1022" spans="2:11" x14ac:dyDescent="0.35">
      <c r="B1022" s="5" t="str">
        <f t="shared" si="658"/>
        <v>SPS3</v>
      </c>
      <c r="C1022" s="5" t="str">
        <f t="shared" si="643"/>
        <v>CH</v>
      </c>
      <c r="D1022" t="s">
        <v>767</v>
      </c>
      <c r="E1022" t="s">
        <v>8</v>
      </c>
      <c r="F1022" s="1" cm="1">
        <f t="array" ref="F1022">SUMPRODUCT(([1]OUT_FinalEnergyCons!$B$4:$B$10000="Var_Fin")*1, ISNUMBER(SEARCH("WOD",[1]OUT_FinalEnergyCons!$C$4:$C$10000))*1,(ISNUMBER(SEARCH("RH*-wHWODBR",[1]OUT_FinalEnergyCons!$A$4:$A$10000)))*1,[1]OUT_FinalEnergyCons!D$4:D$10000)</f>
        <v>1.0409851715917375</v>
      </c>
      <c r="G1022" s="1" cm="1">
        <f t="array" ref="G1022">SUMPRODUCT(([1]OUT_FinalEnergyCons!$B$4:$B$10000="Var_Fin")*1, ISNUMBER(SEARCH("WOD",[1]OUT_FinalEnergyCons!$C$4:$C$10000))*1,(ISNUMBER(SEARCH("RH*-wHWODBR",[1]OUT_FinalEnergyCons!$A$4:$A$10000)))*1,[1]OUT_FinalEnergyCons!E$4:E$10000)</f>
        <v>1.1945218719073636</v>
      </c>
      <c r="H1022" s="1" cm="1">
        <f t="array" ref="H1022">SUMPRODUCT(([1]OUT_FinalEnergyCons!$B$4:$B$10000="Var_Fin")*1, ISNUMBER(SEARCH("WOD",[1]OUT_FinalEnergyCons!$C$4:$C$10000))*1,(ISNUMBER(SEARCH("RH*-wHWODBR",[1]OUT_FinalEnergyCons!$A$4:$A$10000)))*1,[1]OUT_FinalEnergyCons!F$4:F$10000)</f>
        <v>2.5253063396649704</v>
      </c>
      <c r="I1022" s="1" cm="1">
        <f t="array" ref="I1022">SUMPRODUCT(([1]OUT_FinalEnergyCons!$B$4:$B$10000="Var_Fin")*1, ISNUMBER(SEARCH("WOD",[1]OUT_FinalEnergyCons!$C$4:$C$10000))*1,(ISNUMBER(SEARCH("RH*-wHWODBR",[1]OUT_FinalEnergyCons!$A$4:$A$10000)))*1,[1]OUT_FinalEnergyCons!G$4:G$10000)</f>
        <v>2.1303594973792959</v>
      </c>
      <c r="J1022" s="1" cm="1">
        <f t="array" ref="J1022">SUMPRODUCT(([1]OUT_FinalEnergyCons!$B$4:$B$10000="Var_Fin")*1, ISNUMBER(SEARCH("WOD",[1]OUT_FinalEnergyCons!$C$4:$C$10000))*1,(ISNUMBER(SEARCH("RH*-wHWODBR",[1]OUT_FinalEnergyCons!$A$4:$A$10000)))*1,[1]OUT_FinalEnergyCons!H$4:H$10000)</f>
        <v>1.4179970007758844</v>
      </c>
      <c r="K1022" s="1" cm="1">
        <f t="array" ref="K1022">SUMPRODUCT(([1]OUT_FinalEnergyCons!$B$4:$B$10000="Var_Fin")*1, ISNUMBER(SEARCH("WOD",[1]OUT_FinalEnergyCons!$C$4:$C$10000))*1,(ISNUMBER(SEARCH("RH*-wHWODBR",[1]OUT_FinalEnergyCons!$A$4:$A$10000)))*1,[1]OUT_FinalEnergyCons!I$4:I$10000)</f>
        <v>0.72363587316754097</v>
      </c>
    </row>
    <row r="1023" spans="2:11" x14ac:dyDescent="0.35">
      <c r="B1023" s="5" t="str">
        <f t="shared" si="658"/>
        <v>SPS3</v>
      </c>
      <c r="C1023" s="5" t="str">
        <f t="shared" si="643"/>
        <v>CH</v>
      </c>
      <c r="D1023" t="s">
        <v>1025</v>
      </c>
      <c r="E1023" t="s">
        <v>8</v>
      </c>
      <c r="F1023" s="1">
        <f>F1024+F1026</f>
        <v>3.2682989478393218</v>
      </c>
      <c r="G1023" s="1">
        <f t="shared" ref="G1023:K1023" si="673">G1024+G1026</f>
        <v>3.8320269955788278</v>
      </c>
      <c r="H1023" s="1">
        <f t="shared" si="673"/>
        <v>0.34704161186627003</v>
      </c>
      <c r="I1023" s="1">
        <f t="shared" si="673"/>
        <v>0.30053395667935962</v>
      </c>
      <c r="J1023" s="1">
        <f t="shared" si="673"/>
        <v>0.1787845319936392</v>
      </c>
      <c r="K1023" s="1">
        <f t="shared" si="673"/>
        <v>6.6356228180330309E-2</v>
      </c>
    </row>
    <row r="1024" spans="2:11" x14ac:dyDescent="0.35">
      <c r="B1024" s="5" t="str">
        <f t="shared" si="658"/>
        <v>SPS3</v>
      </c>
      <c r="C1024" s="5" t="str">
        <f t="shared" si="643"/>
        <v>CH</v>
      </c>
      <c r="D1024" t="s">
        <v>1026</v>
      </c>
      <c r="E1024" t="s">
        <v>8</v>
      </c>
      <c r="F1024" s="1">
        <f>F1025</f>
        <v>2.9965835466386208</v>
      </c>
      <c r="G1024" s="1">
        <f t="shared" ref="G1024:K1024" si="674">G1025</f>
        <v>3.5202761256012174</v>
      </c>
      <c r="H1024" s="1">
        <f t="shared" si="674"/>
        <v>0.26063842589654335</v>
      </c>
      <c r="I1024" s="1">
        <f t="shared" si="674"/>
        <v>0.22329128940698095</v>
      </c>
      <c r="J1024" s="1">
        <f t="shared" si="674"/>
        <v>0.12920232951561494</v>
      </c>
      <c r="K1024" s="1">
        <f t="shared" si="674"/>
        <v>4.8274017477263606E-2</v>
      </c>
    </row>
    <row r="1025" spans="2:11" x14ac:dyDescent="0.35">
      <c r="B1025" s="5" t="str">
        <f t="shared" si="658"/>
        <v>SPS3</v>
      </c>
      <c r="C1025" s="5" t="str">
        <f t="shared" si="643"/>
        <v>CH</v>
      </c>
      <c r="D1025" t="s">
        <v>768</v>
      </c>
      <c r="E1025" t="s">
        <v>8</v>
      </c>
      <c r="F1025" s="1" cm="1">
        <f t="array" ref="F1025">SUMPRODUCT(([1]OUT_FinalEnergyCons!$B$4:$B$10000="Var_Fin")*1, ISNUMBER(SEARCH("RPLT",[1]OUT_FinalEnergyCons!$C$4:$C$10000))*1,(ISNUMBER(SEARCH("RH*-SHPLTBR",[1]OUT_FinalEnergyCons!$A$4:$A$10000)))*1,[1]OUT_FinalEnergyCons!D$4:D$10000)</f>
        <v>2.9965835466386208</v>
      </c>
      <c r="G1025" s="1" cm="1">
        <f t="array" ref="G1025">SUMPRODUCT(([1]OUT_FinalEnergyCons!$B$4:$B$10000="Var_Fin")*1, ISNUMBER(SEARCH("RPLT",[1]OUT_FinalEnergyCons!$C$4:$C$10000))*1,(ISNUMBER(SEARCH("RH*-SHPLTBR",[1]OUT_FinalEnergyCons!$A$4:$A$10000)))*1,[1]OUT_FinalEnergyCons!E$4:E$10000)</f>
        <v>3.5202761256012174</v>
      </c>
      <c r="H1025" s="1" cm="1">
        <f t="array" ref="H1025">SUMPRODUCT(([1]OUT_FinalEnergyCons!$B$4:$B$10000="Var_Fin")*1, ISNUMBER(SEARCH("RPLT",[1]OUT_FinalEnergyCons!$C$4:$C$10000))*1,(ISNUMBER(SEARCH("RH*-SHPLTBR",[1]OUT_FinalEnergyCons!$A$4:$A$10000)))*1,[1]OUT_FinalEnergyCons!F$4:F$10000)</f>
        <v>0.26063842589654335</v>
      </c>
      <c r="I1025" s="1" cm="1">
        <f t="array" ref="I1025">SUMPRODUCT(([1]OUT_FinalEnergyCons!$B$4:$B$10000="Var_Fin")*1, ISNUMBER(SEARCH("RPLT",[1]OUT_FinalEnergyCons!$C$4:$C$10000))*1,(ISNUMBER(SEARCH("RH*-SHPLTBR",[1]OUT_FinalEnergyCons!$A$4:$A$10000)))*1,[1]OUT_FinalEnergyCons!G$4:G$10000)</f>
        <v>0.22329128940698095</v>
      </c>
      <c r="J1025" s="1" cm="1">
        <f t="array" ref="J1025">SUMPRODUCT(([1]OUT_FinalEnergyCons!$B$4:$B$10000="Var_Fin")*1, ISNUMBER(SEARCH("RPLT",[1]OUT_FinalEnergyCons!$C$4:$C$10000))*1,(ISNUMBER(SEARCH("RH*-SHPLTBR",[1]OUT_FinalEnergyCons!$A$4:$A$10000)))*1,[1]OUT_FinalEnergyCons!H$4:H$10000)</f>
        <v>0.12920232951561494</v>
      </c>
      <c r="K1025" s="1" cm="1">
        <f t="array" ref="K1025">SUMPRODUCT(([1]OUT_FinalEnergyCons!$B$4:$B$10000="Var_Fin")*1, ISNUMBER(SEARCH("RPLT",[1]OUT_FinalEnergyCons!$C$4:$C$10000))*1,(ISNUMBER(SEARCH("RH*-SHPLTBR",[1]OUT_FinalEnergyCons!$A$4:$A$10000)))*1,[1]OUT_FinalEnergyCons!I$4:I$10000)</f>
        <v>4.8274017477263606E-2</v>
      </c>
    </row>
    <row r="1026" spans="2:11" x14ac:dyDescent="0.35">
      <c r="B1026" s="5" t="str">
        <f t="shared" si="658"/>
        <v>SPS3</v>
      </c>
      <c r="C1026" s="5" t="str">
        <f t="shared" si="643"/>
        <v>CH</v>
      </c>
      <c r="D1026" t="s">
        <v>1027</v>
      </c>
      <c r="E1026" t="s">
        <v>8</v>
      </c>
      <c r="F1026" s="1">
        <f>F1027</f>
        <v>0.27171540120070103</v>
      </c>
      <c r="G1026" s="1">
        <f t="shared" ref="G1026:K1026" si="675">G1027</f>
        <v>0.31175086997761037</v>
      </c>
      <c r="H1026" s="1">
        <f t="shared" si="675"/>
        <v>8.6403185969726667E-2</v>
      </c>
      <c r="I1026" s="1">
        <f t="shared" si="675"/>
        <v>7.7242667272378662E-2</v>
      </c>
      <c r="J1026" s="1">
        <f t="shared" si="675"/>
        <v>4.9582202478024237E-2</v>
      </c>
      <c r="K1026" s="1">
        <f t="shared" si="675"/>
        <v>1.8082210703066703E-2</v>
      </c>
    </row>
    <row r="1027" spans="2:11" x14ac:dyDescent="0.35">
      <c r="B1027" s="5" t="str">
        <f t="shared" si="658"/>
        <v>SPS3</v>
      </c>
      <c r="C1027" s="5" t="str">
        <f t="shared" si="643"/>
        <v>CH</v>
      </c>
      <c r="D1027" t="s">
        <v>769</v>
      </c>
      <c r="E1027" t="s">
        <v>8</v>
      </c>
      <c r="F1027" s="1" cm="1">
        <f t="array" ref="F1027">SUMPRODUCT(([1]OUT_FinalEnergyCons!$B$4:$B$10000="Var_Fin")*1, ISNUMBER(SEARCH("PLT",[1]OUT_FinalEnergyCons!$C$4:$C$10000))*1,(ISNUMBER(SEARCH("RH*-wHPLTBR",[1]OUT_FinalEnergyCons!$A$4:$A$10000)))*1,[1]OUT_FinalEnergyCons!D$4:D$10000)</f>
        <v>0.27171540120070103</v>
      </c>
      <c r="G1027" s="1" cm="1">
        <f t="array" ref="G1027">SUMPRODUCT(([1]OUT_FinalEnergyCons!$B$4:$B$10000="Var_Fin")*1, ISNUMBER(SEARCH("PLT",[1]OUT_FinalEnergyCons!$C$4:$C$10000))*1,(ISNUMBER(SEARCH("RH*-wHPLTBR",[1]OUT_FinalEnergyCons!$A$4:$A$10000)))*1,[1]OUT_FinalEnergyCons!E$4:E$10000)</f>
        <v>0.31175086997761037</v>
      </c>
      <c r="H1027" s="1" cm="1">
        <f t="array" ref="H1027">SUMPRODUCT(([1]OUT_FinalEnergyCons!$B$4:$B$10000="Var_Fin")*1, ISNUMBER(SEARCH("PLT",[1]OUT_FinalEnergyCons!$C$4:$C$10000))*1,(ISNUMBER(SEARCH("RH*-wHPLTBR",[1]OUT_FinalEnergyCons!$A$4:$A$10000)))*1,[1]OUT_FinalEnergyCons!F$4:F$10000)</f>
        <v>8.6403185969726667E-2</v>
      </c>
      <c r="I1027" s="1" cm="1">
        <f t="array" ref="I1027">SUMPRODUCT(([1]OUT_FinalEnergyCons!$B$4:$B$10000="Var_Fin")*1, ISNUMBER(SEARCH("PLT",[1]OUT_FinalEnergyCons!$C$4:$C$10000))*1,(ISNUMBER(SEARCH("RH*-wHPLTBR",[1]OUT_FinalEnergyCons!$A$4:$A$10000)))*1,[1]OUT_FinalEnergyCons!G$4:G$10000)</f>
        <v>7.7242667272378662E-2</v>
      </c>
      <c r="J1027" s="1" cm="1">
        <f t="array" ref="J1027">SUMPRODUCT(([1]OUT_FinalEnergyCons!$B$4:$B$10000="Var_Fin")*1, ISNUMBER(SEARCH("PLT",[1]OUT_FinalEnergyCons!$C$4:$C$10000))*1,(ISNUMBER(SEARCH("RH*-wHPLTBR",[1]OUT_FinalEnergyCons!$A$4:$A$10000)))*1,[1]OUT_FinalEnergyCons!H$4:H$10000)</f>
        <v>4.9582202478024237E-2</v>
      </c>
      <c r="K1027" s="1" cm="1">
        <f t="array" ref="K1027">SUMPRODUCT(([1]OUT_FinalEnergyCons!$B$4:$B$10000="Var_Fin")*1, ISNUMBER(SEARCH("PLT",[1]OUT_FinalEnergyCons!$C$4:$C$10000))*1,(ISNUMBER(SEARCH("RH*-wHPLTBR",[1]OUT_FinalEnergyCons!$A$4:$A$10000)))*1,[1]OUT_FinalEnergyCons!I$4:I$10000)</f>
        <v>1.8082210703066703E-2</v>
      </c>
    </row>
    <row r="1028" spans="2:11" x14ac:dyDescent="0.35">
      <c r="B1028" s="5" t="str">
        <f t="shared" si="658"/>
        <v>SPS3</v>
      </c>
      <c r="C1028" s="5" t="str">
        <f t="shared" si="643"/>
        <v>CH</v>
      </c>
      <c r="D1028" t="s">
        <v>1028</v>
      </c>
      <c r="E1028" t="s">
        <v>8</v>
      </c>
      <c r="F1028" s="1">
        <f>[1]Residential!B$23</f>
        <v>2.5068460525822482</v>
      </c>
      <c r="G1028" s="1">
        <f>[1]Residential!C$23</f>
        <v>2.9281871306673763</v>
      </c>
      <c r="H1028" s="1">
        <f>[1]Residential!D$23</f>
        <v>1.0510994129721525</v>
      </c>
      <c r="I1028" s="1">
        <f>[1]Residential!E$23</f>
        <v>1.560217068787181</v>
      </c>
      <c r="J1028" s="1">
        <f>[1]Residential!F$23</f>
        <v>2.132702460369956</v>
      </c>
      <c r="K1028" s="1">
        <f>[1]Residential!G$23</f>
        <v>2.404067572537119</v>
      </c>
    </row>
    <row r="1029" spans="2:11" x14ac:dyDescent="0.35">
      <c r="B1029" s="5" t="str">
        <f t="shared" si="658"/>
        <v>SPS3</v>
      </c>
      <c r="C1029" s="5" t="str">
        <f t="shared" si="643"/>
        <v>CH</v>
      </c>
      <c r="D1029" t="s">
        <v>1029</v>
      </c>
      <c r="E1029" t="s">
        <v>8</v>
      </c>
      <c r="F1029" s="1">
        <f>F1030</f>
        <v>0.78535802792239706</v>
      </c>
      <c r="G1029" s="1">
        <f t="shared" ref="G1029:K1029" si="676">G1030</f>
        <v>0.94139176510574885</v>
      </c>
      <c r="H1029" s="1">
        <f t="shared" si="676"/>
        <v>3.7127996076808882E-2</v>
      </c>
      <c r="I1029" s="1">
        <f t="shared" si="676"/>
        <v>4.8105704217225438E-2</v>
      </c>
      <c r="J1029" s="1">
        <f t="shared" si="676"/>
        <v>5.1522806839060145E-2</v>
      </c>
      <c r="K1029" s="1">
        <f t="shared" si="676"/>
        <v>5.0101877206738962E-2</v>
      </c>
    </row>
    <row r="1030" spans="2:11" x14ac:dyDescent="0.35">
      <c r="B1030" s="5" t="str">
        <f t="shared" si="658"/>
        <v>SPS3</v>
      </c>
      <c r="C1030" s="5" t="str">
        <f t="shared" si="643"/>
        <v>CH</v>
      </c>
      <c r="D1030" t="s">
        <v>742</v>
      </c>
      <c r="E1030" t="s">
        <v>8</v>
      </c>
      <c r="F1030" s="1" cm="1">
        <f t="array" ref="F1030">SUMPRODUCT(([1]OUT_FinalEnergyCons!$B$4:$B$10000="Var_Fin")*1, ("SOL"=[1]OUT_FinalEnergyCons!$C$4:$C$10000)*1,(ISNUMBER(SEARCH("RH*-SHSOLBR",[1]OUT_FinalEnergyCons!$A$4:$A$10000)))*1,[1]OUT_FinalEnergyCons!D$4:D$10000)</f>
        <v>0.78535802792239706</v>
      </c>
      <c r="G1030" s="1" cm="1">
        <f t="array" ref="G1030">SUMPRODUCT(([1]OUT_FinalEnergyCons!$B$4:$B$10000="Var_Fin")*1, ("SOL"=[1]OUT_FinalEnergyCons!$C$4:$C$10000)*1,(ISNUMBER(SEARCH("RH*-SHSOLBR",[1]OUT_FinalEnergyCons!$A$4:$A$10000)))*1,[1]OUT_FinalEnergyCons!E$4:E$10000)</f>
        <v>0.94139176510574885</v>
      </c>
      <c r="H1030" s="1" cm="1">
        <f t="array" ref="H1030">SUMPRODUCT(([1]OUT_FinalEnergyCons!$B$4:$B$10000="Var_Fin")*1, ("SOL"=[1]OUT_FinalEnergyCons!$C$4:$C$10000)*1,(ISNUMBER(SEARCH("RH*-SHSOLBR",[1]OUT_FinalEnergyCons!$A$4:$A$10000)))*1,[1]OUT_FinalEnergyCons!F$4:F$10000)</f>
        <v>3.7127996076808882E-2</v>
      </c>
      <c r="I1030" s="1" cm="1">
        <f t="array" ref="I1030">SUMPRODUCT(([1]OUT_FinalEnergyCons!$B$4:$B$10000="Var_Fin")*1, ("SOL"=[1]OUT_FinalEnergyCons!$C$4:$C$10000)*1,(ISNUMBER(SEARCH("RH*-SHSOLBR",[1]OUT_FinalEnergyCons!$A$4:$A$10000)))*1,[1]OUT_FinalEnergyCons!G$4:G$10000)</f>
        <v>4.8105704217225438E-2</v>
      </c>
      <c r="J1030" s="1" cm="1">
        <f t="array" ref="J1030">SUMPRODUCT(([1]OUT_FinalEnergyCons!$B$4:$B$10000="Var_Fin")*1, ("SOL"=[1]OUT_FinalEnergyCons!$C$4:$C$10000)*1,(ISNUMBER(SEARCH("RH*-SHSOLBR",[1]OUT_FinalEnergyCons!$A$4:$A$10000)))*1,[1]OUT_FinalEnergyCons!H$4:H$10000)</f>
        <v>5.1522806839060145E-2</v>
      </c>
      <c r="K1030" s="1" cm="1">
        <f t="array" ref="K1030">SUMPRODUCT(([1]OUT_FinalEnergyCons!$B$4:$B$10000="Var_Fin")*1, ("SOL"=[1]OUT_FinalEnergyCons!$C$4:$C$10000)*1,(ISNUMBER(SEARCH("RH*-SHSOLBR",[1]OUT_FinalEnergyCons!$A$4:$A$10000)))*1,[1]OUT_FinalEnergyCons!I$4:I$10000)</f>
        <v>5.0101877206738962E-2</v>
      </c>
    </row>
    <row r="1031" spans="2:11" x14ac:dyDescent="0.35">
      <c r="B1031" s="5" t="str">
        <f t="shared" si="658"/>
        <v>SPS3</v>
      </c>
      <c r="C1031" s="5" t="str">
        <f t="shared" si="643"/>
        <v>CH</v>
      </c>
      <c r="D1031" t="s">
        <v>1030</v>
      </c>
      <c r="E1031" t="s">
        <v>8</v>
      </c>
      <c r="F1031" s="1">
        <f>F1028-F1029</f>
        <v>1.7214880246598512</v>
      </c>
      <c r="G1031" s="1">
        <f t="shared" ref="G1031:K1031" si="677">G1028-G1029</f>
        <v>1.9867953655616275</v>
      </c>
      <c r="H1031" s="1">
        <f t="shared" si="677"/>
        <v>1.0139714168953435</v>
      </c>
      <c r="I1031" s="1">
        <f t="shared" si="677"/>
        <v>1.5121113645699555</v>
      </c>
      <c r="J1031" s="1">
        <f t="shared" si="677"/>
        <v>2.0811796535308957</v>
      </c>
      <c r="K1031" s="1">
        <f t="shared" si="677"/>
        <v>2.35396569533038</v>
      </c>
    </row>
    <row r="1032" spans="2:11" x14ac:dyDescent="0.35">
      <c r="B1032" s="5" t="str">
        <f t="shared" si="658"/>
        <v>SPS3</v>
      </c>
      <c r="C1032" s="5" t="str">
        <f t="shared" si="643"/>
        <v>CH</v>
      </c>
      <c r="D1032" t="s">
        <v>743</v>
      </c>
      <c r="E1032" t="s">
        <v>8</v>
      </c>
      <c r="F1032" s="1">
        <f>F1031</f>
        <v>1.7214880246598512</v>
      </c>
      <c r="G1032" s="1">
        <f t="shared" ref="G1032:K1032" si="678">G1031</f>
        <v>1.9867953655616275</v>
      </c>
      <c r="H1032" s="1">
        <f t="shared" si="678"/>
        <v>1.0139714168953435</v>
      </c>
      <c r="I1032" s="1">
        <f t="shared" si="678"/>
        <v>1.5121113645699555</v>
      </c>
      <c r="J1032" s="1">
        <f t="shared" si="678"/>
        <v>2.0811796535308957</v>
      </c>
      <c r="K1032" s="1">
        <f t="shared" si="678"/>
        <v>2.35396569533038</v>
      </c>
    </row>
    <row r="1033" spans="2:11" x14ac:dyDescent="0.35">
      <c r="B1033" s="5" t="str">
        <f t="shared" si="658"/>
        <v>SPS3</v>
      </c>
      <c r="C1033" s="5" t="str">
        <f t="shared" si="643"/>
        <v>CH</v>
      </c>
      <c r="D1033" t="s">
        <v>1031</v>
      </c>
      <c r="E1033" t="s">
        <v>8</v>
      </c>
      <c r="F1033" s="1">
        <f>[1]Residential!B$24</f>
        <v>0</v>
      </c>
      <c r="G1033" s="1">
        <f>[1]Residential!C$24</f>
        <v>0</v>
      </c>
      <c r="H1033" s="1">
        <f>[1]Residential!D$24</f>
        <v>0</v>
      </c>
      <c r="I1033" s="1">
        <f>[1]Residential!E$24</f>
        <v>2.8184277236389817E-3</v>
      </c>
      <c r="J1033" s="1">
        <f>[1]Residential!F$24</f>
        <v>4.3501793102834735E-4</v>
      </c>
      <c r="K1033" s="1">
        <f>[1]Residential!G$24</f>
        <v>3.2157337614952937E-2</v>
      </c>
    </row>
    <row r="1034" spans="2:11" x14ac:dyDescent="0.35">
      <c r="B1034" s="5" t="str">
        <f t="shared" si="658"/>
        <v>SPS3</v>
      </c>
      <c r="C1034" s="5" t="str">
        <f t="shared" si="643"/>
        <v>CH</v>
      </c>
      <c r="D1034" t="s">
        <v>745</v>
      </c>
      <c r="E1034" t="str">
        <f>E1033</f>
        <v>PJ/yr.</v>
      </c>
      <c r="F1034" s="1">
        <f>F1033-F1036-F1038</f>
        <v>0</v>
      </c>
      <c r="G1034" s="1">
        <f t="shared" ref="G1034:K1034" si="679">G1033-G1036-G1038</f>
        <v>0</v>
      </c>
      <c r="H1034" s="1">
        <f t="shared" si="679"/>
        <v>0</v>
      </c>
      <c r="I1034" s="1">
        <f t="shared" si="679"/>
        <v>2.8184277236389817E-3</v>
      </c>
      <c r="J1034" s="1">
        <f t="shared" si="679"/>
        <v>4.3501793102834735E-4</v>
      </c>
      <c r="K1034" s="1">
        <f t="shared" si="679"/>
        <v>3.2157337614952937E-2</v>
      </c>
    </row>
    <row r="1035" spans="2:11" x14ac:dyDescent="0.35">
      <c r="B1035" s="5" t="str">
        <f t="shared" si="658"/>
        <v>SPS3</v>
      </c>
      <c r="C1035" s="5" t="str">
        <f t="shared" si="643"/>
        <v>CH</v>
      </c>
      <c r="D1035" t="s">
        <v>744</v>
      </c>
      <c r="E1035" t="str">
        <f>E1034</f>
        <v>PJ/yr.</v>
      </c>
      <c r="F1035" s="1">
        <f>F1036+F1038</f>
        <v>0</v>
      </c>
      <c r="G1035" s="1">
        <f t="shared" ref="G1035:K1035" si="680">G1036+G1038</f>
        <v>0</v>
      </c>
      <c r="H1035" s="1">
        <f t="shared" si="680"/>
        <v>0</v>
      </c>
      <c r="I1035" s="1">
        <f t="shared" si="680"/>
        <v>0</v>
      </c>
      <c r="J1035" s="1">
        <f t="shared" si="680"/>
        <v>0</v>
      </c>
      <c r="K1035" s="1">
        <f t="shared" si="680"/>
        <v>0</v>
      </c>
    </row>
    <row r="1036" spans="2:11" x14ac:dyDescent="0.35">
      <c r="B1036" s="5" t="str">
        <f t="shared" si="658"/>
        <v>SPS3</v>
      </c>
      <c r="C1036" s="5" t="str">
        <f>C1033</f>
        <v>CH</v>
      </c>
      <c r="D1036" t="s">
        <v>1033</v>
      </c>
      <c r="E1036" t="s">
        <v>8</v>
      </c>
      <c r="F1036" s="1">
        <f>F1037</f>
        <v>0</v>
      </c>
      <c r="G1036" s="1">
        <f t="shared" ref="G1036:K1036" si="681">G1037</f>
        <v>0</v>
      </c>
      <c r="H1036" s="1">
        <f t="shared" si="681"/>
        <v>0</v>
      </c>
      <c r="I1036" s="1">
        <f t="shared" si="681"/>
        <v>0</v>
      </c>
      <c r="J1036" s="1">
        <f t="shared" si="681"/>
        <v>0</v>
      </c>
      <c r="K1036" s="1">
        <f t="shared" si="681"/>
        <v>0</v>
      </c>
    </row>
    <row r="1037" spans="2:11" x14ac:dyDescent="0.35">
      <c r="B1037" s="5" t="str">
        <f t="shared" si="658"/>
        <v>SPS3</v>
      </c>
      <c r="C1037" s="5" t="str">
        <f t="shared" si="643"/>
        <v>CH</v>
      </c>
      <c r="D1037" t="s">
        <v>1032</v>
      </c>
      <c r="E1037" t="s">
        <v>8</v>
      </c>
      <c r="F1037" s="1" cm="1">
        <f t="array" ref="F1037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7" s="1" cm="1">
        <f t="array" ref="G1037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7" s="1" cm="1">
        <f t="array" ref="H1037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7" s="1" cm="1">
        <f t="array" ref="I1037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7" s="1" cm="1">
        <f t="array" ref="J1037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7" s="1" cm="1">
        <f t="array" ref="K1037">SUMPRODUCT(([1]OUT_FinalEnergyCons!$B$4:$B$10000="Var_Fin")*1, ISNUMBER(SEARCH("RSH2",[1]OUT_FinalEnergyCons!$C$4:$C$10000))*1,(ISNUMBER(SEARCH("RH*-SHH2BR",[1]OUT_FinalEnergyCons!$A$4:$A$10000)))*1,[1]OUT_FinalEnergyCons!I$4:I$10000)</f>
        <v>0</v>
      </c>
    </row>
    <row r="1038" spans="2:11" x14ac:dyDescent="0.35">
      <c r="B1038" s="5" t="str">
        <f t="shared" si="658"/>
        <v>SPS3</v>
      </c>
      <c r="C1038" s="5" t="str">
        <f t="shared" si="643"/>
        <v>CH</v>
      </c>
      <c r="D1038" t="s">
        <v>1034</v>
      </c>
      <c r="E1038" t="s">
        <v>8</v>
      </c>
      <c r="F1038" s="1">
        <f>F1039</f>
        <v>0</v>
      </c>
      <c r="G1038" s="1">
        <f t="shared" ref="G1038:K1038" si="682">G1039</f>
        <v>0</v>
      </c>
      <c r="H1038" s="1">
        <f t="shared" si="682"/>
        <v>0</v>
      </c>
      <c r="I1038" s="1">
        <f t="shared" si="682"/>
        <v>0</v>
      </c>
      <c r="J1038" s="1">
        <f t="shared" si="682"/>
        <v>0</v>
      </c>
      <c r="K1038" s="1">
        <f t="shared" si="682"/>
        <v>0</v>
      </c>
    </row>
    <row r="1039" spans="2:11" x14ac:dyDescent="0.35">
      <c r="B1039" s="5" t="str">
        <f t="shared" si="658"/>
        <v>SPS3</v>
      </c>
      <c r="C1039" s="5" t="str">
        <f t="shared" si="643"/>
        <v>CH</v>
      </c>
      <c r="D1039" t="s">
        <v>748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ISNUMBER(SEARCH("RSH2",[1]OUT_FinalEnergyCons!$C$4:$C$10000))*1,(ISNUMBER(SEARCH("RH*-wHH2BR",[1]OUT_FinalEnergyCons!$A$4:$A$10000)))*1,[1]OUT_FinalEnergyCons!I$4:I$10000)</f>
        <v>0</v>
      </c>
    </row>
    <row r="1040" spans="2:11" x14ac:dyDescent="0.35">
      <c r="B1040" s="5" t="str">
        <f t="shared" si="658"/>
        <v>SPS3</v>
      </c>
      <c r="C1040" s="5" t="str">
        <f t="shared" si="643"/>
        <v>CH</v>
      </c>
      <c r="D1040" t="s">
        <v>1035</v>
      </c>
      <c r="E1040" t="s">
        <v>8</v>
      </c>
      <c r="F1040" s="1">
        <f>[1]Residential!B$21</f>
        <v>8.3698820775409253</v>
      </c>
      <c r="G1040" s="1">
        <f>[1]Residential!C$21</f>
        <v>9.6737777950197668</v>
      </c>
      <c r="H1040" s="1">
        <f>[1]Residential!D$21</f>
        <v>8.4407231281420145</v>
      </c>
      <c r="I1040" s="1">
        <f>[1]Residential!E$21</f>
        <v>14.377440285589856</v>
      </c>
      <c r="J1040" s="1">
        <f>[1]Residential!F$21</f>
        <v>14.615579981836589</v>
      </c>
      <c r="K1040" s="1">
        <f>[1]Residential!G$21</f>
        <v>12.341648641924156</v>
      </c>
    </row>
    <row r="1041" spans="2:13" x14ac:dyDescent="0.35">
      <c r="B1041" s="5" t="str">
        <f t="shared" si="658"/>
        <v>SPS3</v>
      </c>
      <c r="C1041" s="5" t="str">
        <f t="shared" si="643"/>
        <v>CH</v>
      </c>
      <c r="D1041" t="s">
        <v>1036</v>
      </c>
      <c r="E1041" t="s">
        <v>8</v>
      </c>
      <c r="F1041" s="1">
        <f>SUM(F1042:F1044)</f>
        <v>0.14903555607921853</v>
      </c>
      <c r="G1041" s="1">
        <f t="shared" ref="G1041:K1041" si="683">SUM(G1042:G1044)</f>
        <v>1.0398844460047501E-2</v>
      </c>
      <c r="H1041" s="1">
        <f t="shared" si="683"/>
        <v>9.6146662597934626E-2</v>
      </c>
      <c r="I1041" s="1">
        <f t="shared" si="683"/>
        <v>4.373716495845307</v>
      </c>
      <c r="J1041" s="1">
        <f t="shared" si="683"/>
        <v>3.4381993998608826</v>
      </c>
      <c r="K1041" s="1">
        <f t="shared" si="683"/>
        <v>1.4604900585021206E-2</v>
      </c>
    </row>
    <row r="1042" spans="2:13" x14ac:dyDescent="0.35">
      <c r="B1042" s="5" t="str">
        <f t="shared" si="658"/>
        <v>SPS3</v>
      </c>
      <c r="C1042" s="5" t="str">
        <f t="shared" si="643"/>
        <v>CH</v>
      </c>
      <c r="D1042" t="s">
        <v>749</v>
      </c>
      <c r="E1042" t="s">
        <v>8</v>
      </c>
      <c r="F1042" s="1">
        <f t="shared" ref="F1042:K1043" si="684">SUM(F242,F244)</f>
        <v>0.14530742886182896</v>
      </c>
      <c r="G1042" s="1">
        <f t="shared" si="684"/>
        <v>8.2075811143571768E-3</v>
      </c>
      <c r="H1042" s="1">
        <f t="shared" si="684"/>
        <v>9.4625245193603727E-2</v>
      </c>
      <c r="I1042" s="1">
        <f t="shared" si="684"/>
        <v>4.3601550415218417</v>
      </c>
      <c r="J1042" s="1">
        <f t="shared" si="684"/>
        <v>3.4323493612283542</v>
      </c>
      <c r="K1042" s="1">
        <f t="shared" si="684"/>
        <v>4.4580960373148794E-3</v>
      </c>
    </row>
    <row r="1043" spans="2:13" x14ac:dyDescent="0.35">
      <c r="B1043" s="5" t="str">
        <f t="shared" si="658"/>
        <v>SPS3</v>
      </c>
      <c r="C1043" s="5" t="str">
        <f t="shared" si="643"/>
        <v>CH</v>
      </c>
      <c r="D1043" t="s">
        <v>750</v>
      </c>
      <c r="E1043" t="s">
        <v>8</v>
      </c>
      <c r="F1043" s="1">
        <f t="shared" si="684"/>
        <v>0</v>
      </c>
      <c r="G1043" s="1">
        <f t="shared" si="684"/>
        <v>0</v>
      </c>
      <c r="H1043" s="1">
        <f t="shared" si="684"/>
        <v>0</v>
      </c>
      <c r="I1043" s="1">
        <f t="shared" si="684"/>
        <v>0</v>
      </c>
      <c r="J1043" s="1">
        <f t="shared" si="684"/>
        <v>0</v>
      </c>
      <c r="K1043" s="1">
        <f t="shared" si="684"/>
        <v>0</v>
      </c>
    </row>
    <row r="1044" spans="2:13" x14ac:dyDescent="0.35">
      <c r="B1044" s="5" t="str">
        <f t="shared" si="658"/>
        <v>SPS3</v>
      </c>
      <c r="C1044" s="5" t="str">
        <f t="shared" si="643"/>
        <v>CH</v>
      </c>
      <c r="D1044" t="s">
        <v>751</v>
      </c>
      <c r="E1044" t="s">
        <v>8</v>
      </c>
      <c r="F1044" s="1">
        <f t="shared" ref="F1044:K1044" si="685">SUM(F283,F284)</f>
        <v>3.7281272173895815E-3</v>
      </c>
      <c r="G1044" s="1">
        <f t="shared" si="685"/>
        <v>2.191263345690325E-3</v>
      </c>
      <c r="H1044" s="1">
        <f t="shared" si="685"/>
        <v>1.5214174043308977E-3</v>
      </c>
      <c r="I1044" s="1">
        <f t="shared" si="685"/>
        <v>1.3561454323465148E-2</v>
      </c>
      <c r="J1044" s="1">
        <f t="shared" si="685"/>
        <v>5.85003863252856E-3</v>
      </c>
      <c r="K1044" s="1">
        <f t="shared" si="685"/>
        <v>1.0146804547706327E-2</v>
      </c>
    </row>
    <row r="1045" spans="2:13" x14ac:dyDescent="0.35">
      <c r="B1045" s="5" t="str">
        <f t="shared" si="658"/>
        <v>SPS3</v>
      </c>
      <c r="C1045" s="5" t="str">
        <f t="shared" si="643"/>
        <v>CH</v>
      </c>
      <c r="D1045" t="s">
        <v>1037</v>
      </c>
      <c r="E1045" t="s">
        <v>8</v>
      </c>
      <c r="F1045" s="1">
        <f>F1040-F1041</f>
        <v>8.2208465214617075</v>
      </c>
      <c r="G1045" s="1">
        <f t="shared" ref="G1045:K1045" si="686">G1040-G1041</f>
        <v>9.6633789505597196</v>
      </c>
      <c r="H1045" s="1">
        <f t="shared" si="686"/>
        <v>8.3445764655440797</v>
      </c>
      <c r="I1045" s="1">
        <f t="shared" si="686"/>
        <v>10.003723789744548</v>
      </c>
      <c r="J1045" s="1">
        <f t="shared" si="686"/>
        <v>11.177380581975706</v>
      </c>
      <c r="K1045" s="1">
        <f t="shared" si="686"/>
        <v>12.327043741339134</v>
      </c>
    </row>
    <row r="1046" spans="2:13" x14ac:dyDescent="0.35">
      <c r="B1046" s="5" t="str">
        <f t="shared" si="658"/>
        <v>SPS3</v>
      </c>
      <c r="C1046" s="5" t="str">
        <f t="shared" si="643"/>
        <v>CH</v>
      </c>
      <c r="D1046" t="s">
        <v>1038</v>
      </c>
      <c r="E1046" t="s">
        <v>8</v>
      </c>
      <c r="F1046" s="1">
        <f>[1]Residential!B$25</f>
        <v>15.195100757685315</v>
      </c>
      <c r="G1046" s="1">
        <f>[1]Residential!C$25</f>
        <v>17.636544852008981</v>
      </c>
      <c r="H1046" s="1">
        <f>[1]Residential!D$25</f>
        <v>27.513962667692816</v>
      </c>
      <c r="I1046" s="1">
        <f>[1]Residential!E$25</f>
        <v>44.292485637452799</v>
      </c>
      <c r="J1046" s="1">
        <f>[1]Residential!F$25</f>
        <v>62.27281896468542</v>
      </c>
      <c r="K1046" s="1">
        <f>[1]Residential!G$25</f>
        <v>61.094532536150226</v>
      </c>
    </row>
    <row r="1047" spans="2:13" x14ac:dyDescent="0.35">
      <c r="B1047" s="5" t="str">
        <f t="shared" si="658"/>
        <v>SPS3</v>
      </c>
      <c r="C1047" s="5" t="str">
        <f t="shared" si="643"/>
        <v>CH</v>
      </c>
      <c r="D1047" t="s">
        <v>1039</v>
      </c>
      <c r="E1047" t="s">
        <v>8</v>
      </c>
      <c r="F1047" s="1">
        <f>F1046-F1050</f>
        <v>13.104065488788468</v>
      </c>
      <c r="G1047" s="1">
        <f t="shared" ref="G1047:K1047" si="687">G1046-G1050</f>
        <v>15.287490827466764</v>
      </c>
      <c r="H1047" s="1">
        <f t="shared" si="687"/>
        <v>24.535873089158244</v>
      </c>
      <c r="I1047" s="1">
        <f t="shared" si="687"/>
        <v>38.311998174266861</v>
      </c>
      <c r="J1047" s="1">
        <f t="shared" si="687"/>
        <v>51.328154103893155</v>
      </c>
      <c r="K1047" s="1">
        <f t="shared" si="687"/>
        <v>48.128755329250232</v>
      </c>
      <c r="M1047" s="1"/>
    </row>
    <row r="1048" spans="2:13" x14ac:dyDescent="0.35">
      <c r="B1048" s="5" t="str">
        <f t="shared" si="658"/>
        <v>SPS3</v>
      </c>
      <c r="C1048" s="5" t="str">
        <f t="shared" si="643"/>
        <v>CH</v>
      </c>
      <c r="D1048" t="s">
        <v>752</v>
      </c>
      <c r="E1048" t="s">
        <v>8</v>
      </c>
      <c r="F1048" s="1">
        <f>F1047-F1049</f>
        <v>13.104065488788468</v>
      </c>
      <c r="G1048" s="1">
        <f t="shared" ref="G1048:K1048" si="688">G1047-G1049</f>
        <v>15.287490827466764</v>
      </c>
      <c r="H1048" s="1">
        <f t="shared" si="688"/>
        <v>22.561462078409974</v>
      </c>
      <c r="I1048" s="1">
        <f t="shared" si="688"/>
        <v>34.990859501423628</v>
      </c>
      <c r="J1048" s="1">
        <f t="shared" si="688"/>
        <v>46.98112638141933</v>
      </c>
      <c r="K1048" s="1">
        <f t="shared" si="688"/>
        <v>44.613929088760017</v>
      </c>
    </row>
    <row r="1049" spans="2:13" x14ac:dyDescent="0.35">
      <c r="B1049" s="5" t="str">
        <f t="shared" si="658"/>
        <v>SPS3</v>
      </c>
      <c r="C1049" s="5" t="str">
        <f t="shared" si="643"/>
        <v>CH</v>
      </c>
      <c r="D1049" t="s">
        <v>753</v>
      </c>
      <c r="E1049" t="s">
        <v>8</v>
      </c>
      <c r="F1049" s="1" cm="1">
        <f t="array" ref="F1049">SUMPRODUCT(([1]OUT_FinalEnergyCons!$B$4:$B$10000="Var_FOut")*1, ISNUMBER(SEARCH("RH*SHANGAH",[1]OUT_FinalEnergyCons!$C$4:$C$10000))*1,ISNUMBER(SEARCH("RH*-SHngahp",[1]OUT_FinalEnergyCons!$A$4:$A$10000))*1,[1]OUT_FinalEnergyCons!D$4:D$10000)-F997</f>
        <v>0</v>
      </c>
      <c r="G1049" s="1" cm="1">
        <f t="array" ref="G1049">SUMPRODUCT(([1]OUT_FinalEnergyCons!$B$4:$B$10000="Var_FOut")*1, ISNUMBER(SEARCH("RH*SHANGAH",[1]OUT_FinalEnergyCons!$C$4:$C$10000))*1,ISNUMBER(SEARCH("RH*-SHngahp",[1]OUT_FinalEnergyCons!$A$4:$A$10000))*1,[1]OUT_FinalEnergyCons!E$4:E$10000)-G997</f>
        <v>0</v>
      </c>
      <c r="H1049" s="1" cm="1">
        <f t="array" ref="H1049">SUMPRODUCT(([1]OUT_FinalEnergyCons!$B$4:$B$10000="Var_FOut")*1, ISNUMBER(SEARCH("RH*SHANGAH",[1]OUT_FinalEnergyCons!$C$4:$C$10000))*1,ISNUMBER(SEARCH("RH*-SHngahp",[1]OUT_FinalEnergyCons!$A$4:$A$10000))*1,[1]OUT_FinalEnergyCons!F$4:F$10000)-H997</f>
        <v>1.9744110107482689</v>
      </c>
      <c r="I1049" s="1" cm="1">
        <f t="array" ref="I1049">SUMPRODUCT(([1]OUT_FinalEnergyCons!$B$4:$B$10000="Var_FOut")*1, ISNUMBER(SEARCH("RH*SHANGAH",[1]OUT_FinalEnergyCons!$C$4:$C$10000))*1,ISNUMBER(SEARCH("RH*-SHngahp",[1]OUT_FinalEnergyCons!$A$4:$A$10000))*1,[1]OUT_FinalEnergyCons!G$4:G$10000)-I997</f>
        <v>3.3211386728432304</v>
      </c>
      <c r="J1049" s="1" cm="1">
        <f t="array" ref="J1049">SUMPRODUCT(([1]OUT_FinalEnergyCons!$B$4:$B$10000="Var_FOut")*1, ISNUMBER(SEARCH("RH*SHANGAH",[1]OUT_FinalEnergyCons!$C$4:$C$10000))*1,ISNUMBER(SEARCH("RH*-SHngahp",[1]OUT_FinalEnergyCons!$A$4:$A$10000))*1,[1]OUT_FinalEnergyCons!H$4:H$10000)-J997</f>
        <v>4.3470277224738263</v>
      </c>
      <c r="K1049" s="1" cm="1">
        <f t="array" ref="K1049">SUMPRODUCT(([1]OUT_FinalEnergyCons!$B$4:$B$10000="Var_FOut")*1, ISNUMBER(SEARCH("RH*SHANGAH",[1]OUT_FinalEnergyCons!$C$4:$C$10000))*1,ISNUMBER(SEARCH("RH*-SHngahp",[1]OUT_FinalEnergyCons!$A$4:$A$10000))*1,[1]OUT_FinalEnergyCons!I$4:I$10000)-K997</f>
        <v>3.5148262404902124</v>
      </c>
      <c r="M1049" s="20"/>
    </row>
    <row r="1050" spans="2:13" x14ac:dyDescent="0.35">
      <c r="B1050" s="5" t="str">
        <f t="shared" si="658"/>
        <v>SPS3</v>
      </c>
      <c r="C1050" s="5" t="str">
        <f t="shared" si="643"/>
        <v>CH</v>
      </c>
      <c r="D1050" t="s">
        <v>1040</v>
      </c>
      <c r="E1050" t="s">
        <v>8</v>
      </c>
      <c r="F1050" s="1">
        <f>SUM(F1051:F1052)</f>
        <v>2.0910352688968472</v>
      </c>
      <c r="G1050" s="1">
        <f t="shared" ref="G1050:K1050" si="689">SUM(G1051:G1052)</f>
        <v>2.3490540245422182</v>
      </c>
      <c r="H1050" s="1">
        <f t="shared" si="689"/>
        <v>2.9780895785345711</v>
      </c>
      <c r="I1050" s="1">
        <f t="shared" si="689"/>
        <v>5.9804874631859395</v>
      </c>
      <c r="J1050" s="1">
        <f t="shared" si="689"/>
        <v>10.944664860792265</v>
      </c>
      <c r="K1050" s="1">
        <f t="shared" si="689"/>
        <v>12.965777206899995</v>
      </c>
    </row>
    <row r="1051" spans="2:13" x14ac:dyDescent="0.35">
      <c r="B1051" s="5" t="str">
        <f t="shared" si="658"/>
        <v>SPS3</v>
      </c>
      <c r="C1051" s="5" t="str">
        <f t="shared" si="643"/>
        <v>CH</v>
      </c>
      <c r="D1051" t="s">
        <v>754</v>
      </c>
      <c r="E1051" t="s">
        <v>8</v>
      </c>
      <c r="F1051" s="1" cm="1">
        <f t="array" ref="F1051">SUMPRODUCT(([1]OUT_FinalEnergyCons!$B$4:$B$10000="Var_FOut")*1, ISNUMBER(SEARCH("RHSA-WHAELCH",[1]OUT_FinalEnergyCons!$C$4:$C$10000))*1,(ISNUMBER(SEARCH("RHSA-WHELCHP",[1]OUT_FinalEnergyCons!$A$4:$A$10000)))*1,[1]OUT_FinalEnergyCons!D$4:D$10000)-F977</f>
        <v>2.0910352688968472</v>
      </c>
      <c r="G1051" s="1" cm="1">
        <f t="array" ref="G1051">SUMPRODUCT(([1]OUT_FinalEnergyCons!$B$4:$B$10000="Var_FOut")*1, ISNUMBER(SEARCH("RHSA-WHAELCH",[1]OUT_FinalEnergyCons!$C$4:$C$10000))*1,(ISNUMBER(SEARCH("RHSA-WHELCHP",[1]OUT_FinalEnergyCons!$A$4:$A$10000)))*1,[1]OUT_FinalEnergyCons!E$4:E$10000)-G977</f>
        <v>2.3490540245422182</v>
      </c>
      <c r="H1051" s="1" cm="1">
        <f t="array" ref="H1051">SUMPRODUCT(([1]OUT_FinalEnergyCons!$B$4:$B$10000="Var_FOut")*1, ISNUMBER(SEARCH("RHSA-WHAELCH",[1]OUT_FinalEnergyCons!$C$4:$C$10000))*1,(ISNUMBER(SEARCH("RHSA-WHELCHP",[1]OUT_FinalEnergyCons!$A$4:$A$10000)))*1,[1]OUT_FinalEnergyCons!F$4:F$10000)-H977</f>
        <v>2.4778462084873296</v>
      </c>
      <c r="I1051" s="1" cm="1">
        <f t="array" ref="I1051">SUMPRODUCT(([1]OUT_FinalEnergyCons!$B$4:$B$10000="Var_FOut")*1, ISNUMBER(SEARCH("RHSA-WHAELCH",[1]OUT_FinalEnergyCons!$C$4:$C$10000))*1,(ISNUMBER(SEARCH("RHSA-WHELCHP",[1]OUT_FinalEnergyCons!$A$4:$A$10000)))*1,[1]OUT_FinalEnergyCons!G$4:G$10000)-I977</f>
        <v>4.7930028505787634</v>
      </c>
      <c r="J1051" s="1" cm="1">
        <f t="array" ref="J1051">SUMPRODUCT(([1]OUT_FinalEnergyCons!$B$4:$B$10000="Var_FOut")*1, ISNUMBER(SEARCH("RHSA-WHAELCH",[1]OUT_FinalEnergyCons!$C$4:$C$10000))*1,(ISNUMBER(SEARCH("RHSA-WHELCHP",[1]OUT_FinalEnergyCons!$A$4:$A$10000)))*1,[1]OUT_FinalEnergyCons!H$4:H$10000)-J977</f>
        <v>8.7163841467567451</v>
      </c>
      <c r="K1051" s="1" cm="1">
        <f t="array" ref="K1051">SUMPRODUCT(([1]OUT_FinalEnergyCons!$B$4:$B$10000="Var_FOut")*1, ISNUMBER(SEARCH("RHSA-WHAELCH",[1]OUT_FinalEnergyCons!$C$4:$C$10000))*1,(ISNUMBER(SEARCH("RHSA-WHELCHP",[1]OUT_FinalEnergyCons!$A$4:$A$10000)))*1,[1]OUT_FinalEnergyCons!I$4:I$10000)-K977</f>
        <v>10.604257020717135</v>
      </c>
    </row>
    <row r="1052" spans="2:13" x14ac:dyDescent="0.35">
      <c r="B1052" s="5" t="str">
        <f t="shared" si="658"/>
        <v>SPS3</v>
      </c>
      <c r="C1052" s="5" t="str">
        <f t="shared" si="643"/>
        <v>CH</v>
      </c>
      <c r="D1052" t="s">
        <v>755</v>
      </c>
      <c r="E1052" t="s">
        <v>8</v>
      </c>
      <c r="F1052" s="1" cm="1">
        <f t="array" ref="F1052">SUMPRODUCT(([1]OUT_FinalEnergyCons!$B$4:$B$10000="Var_FOut")*1,ISNUMBER(SEARCH("RHSA-WHangah",[1]OUT_FinalEnergyCons!$C$4:$C$10000))*1,(ISNUMBER(SEARCH("RHSA-WHngahp",[1]OUT_FinalEnergyCons!$A$4:$A$10000)))*1,[1]OUT_FinalEnergyCons!D$4:D$10000)-F1006</f>
        <v>0</v>
      </c>
      <c r="G1052" s="1" cm="1">
        <f t="array" ref="G1052">SUMPRODUCT(([1]OUT_FinalEnergyCons!$B$4:$B$10000="Var_FOut")*1,ISNUMBER(SEARCH("RHSA-WHangah",[1]OUT_FinalEnergyCons!$C$4:$C$10000))*1,(ISNUMBER(SEARCH("RHSA-WHngahp",[1]OUT_FinalEnergyCons!$A$4:$A$10000)))*1,[1]OUT_FinalEnergyCons!E$4:E$10000)-G1006</f>
        <v>0</v>
      </c>
      <c r="H1052" s="1" cm="1">
        <f t="array" ref="H1052">SUMPRODUCT(([1]OUT_FinalEnergyCons!$B$4:$B$10000="Var_FOut")*1,ISNUMBER(SEARCH("RHSA-WHangah",[1]OUT_FinalEnergyCons!$C$4:$C$10000))*1,(ISNUMBER(SEARCH("RHSA-WHngahp",[1]OUT_FinalEnergyCons!$A$4:$A$10000)))*1,[1]OUT_FinalEnergyCons!F$4:F$10000)-H1006</f>
        <v>0.5002433700472414</v>
      </c>
      <c r="I1052" s="1" cm="1">
        <f t="array" ref="I1052">SUMPRODUCT(([1]OUT_FinalEnergyCons!$B$4:$B$10000="Var_FOut")*1,ISNUMBER(SEARCH("RHSA-WHangah",[1]OUT_FinalEnergyCons!$C$4:$C$10000))*1,(ISNUMBER(SEARCH("RHSA-WHngahp",[1]OUT_FinalEnergyCons!$A$4:$A$10000)))*1,[1]OUT_FinalEnergyCons!G$4:G$10000)-I1006</f>
        <v>1.1874846126071756</v>
      </c>
      <c r="J1052" s="1" cm="1">
        <f t="array" ref="J1052">SUMPRODUCT(([1]OUT_FinalEnergyCons!$B$4:$B$10000="Var_FOut")*1,ISNUMBER(SEARCH("RHSA-WHangah",[1]OUT_FinalEnergyCons!$C$4:$C$10000))*1,(ISNUMBER(SEARCH("RHSA-WHngahp",[1]OUT_FinalEnergyCons!$A$4:$A$10000)))*1,[1]OUT_FinalEnergyCons!H$4:H$10000)-J1006</f>
        <v>2.2282807140355194</v>
      </c>
      <c r="K1052" s="1" cm="1">
        <f t="array" ref="K1052">SUMPRODUCT(([1]OUT_FinalEnergyCons!$B$4:$B$10000="Var_FOut")*1,ISNUMBER(SEARCH("RHSA-WHangah",[1]OUT_FinalEnergyCons!$C$4:$C$10000))*1,(ISNUMBER(SEARCH("RHSA-WHngahp",[1]OUT_FinalEnergyCons!$A$4:$A$10000)))*1,[1]OUT_FinalEnergyCons!I$4:I$10000)-K1006</f>
        <v>2.3615201861828599</v>
      </c>
    </row>
    <row r="1053" spans="2:13" x14ac:dyDescent="0.35">
      <c r="B1053" s="5" t="str">
        <f t="shared" si="658"/>
        <v>SPS3</v>
      </c>
      <c r="C1053" s="5" t="str">
        <f t="shared" si="643"/>
        <v>CH</v>
      </c>
      <c r="D1053" s="2" t="s">
        <v>756</v>
      </c>
      <c r="E1053" t="s">
        <v>8</v>
      </c>
      <c r="F1053" s="3">
        <f>[1]Residential!B$245</f>
        <v>156.02494208952066</v>
      </c>
      <c r="G1053" s="3">
        <f>[1]Residential!C$245</f>
        <v>162.34355220457579</v>
      </c>
      <c r="H1053" s="3">
        <f>[1]Residential!D$245</f>
        <v>147.55530679890506</v>
      </c>
      <c r="I1053" s="3">
        <f>[1]Residential!E$245</f>
        <v>144.98898990119901</v>
      </c>
      <c r="J1053" s="3">
        <f>[1]Residential!F$245</f>
        <v>141.11690329399107</v>
      </c>
      <c r="K1053" s="3">
        <f>[1]Residential!G$245</f>
        <v>136.3856334408818</v>
      </c>
    </row>
    <row r="1054" spans="2:13" x14ac:dyDescent="0.35">
      <c r="B1054" s="5" t="str">
        <f t="shared" si="658"/>
        <v>SPS3</v>
      </c>
      <c r="C1054" s="5" t="str">
        <f>C1053</f>
        <v>CH</v>
      </c>
      <c r="D1054" t="s">
        <v>770</v>
      </c>
      <c r="E1054" t="s">
        <v>8</v>
      </c>
      <c r="F1054" s="1">
        <f>[1]Residential!B$116</f>
        <v>129.04639393169884</v>
      </c>
      <c r="G1054" s="1">
        <f>[1]Residential!C$116</f>
        <v>136.41422491314819</v>
      </c>
      <c r="H1054" s="1">
        <f>[1]Residential!D$116</f>
        <v>125.83821513469923</v>
      </c>
      <c r="I1054" s="1">
        <f>[1]Residential!E$116</f>
        <v>122.88330682676245</v>
      </c>
      <c r="J1054" s="1">
        <f>[1]Residential!F$116</f>
        <v>115.17524472212943</v>
      </c>
      <c r="K1054" s="1">
        <f>[1]Residential!G$116</f>
        <v>109.89845216753005</v>
      </c>
    </row>
    <row r="1055" spans="2:13" x14ac:dyDescent="0.35">
      <c r="B1055" s="5" t="str">
        <f t="shared" si="658"/>
        <v>SPS3</v>
      </c>
      <c r="C1055" s="5" t="str">
        <f t="shared" ref="C1055:C1105" si="690">C1054</f>
        <v>CH</v>
      </c>
      <c r="D1055" t="s">
        <v>1116</v>
      </c>
      <c r="E1055" t="s">
        <v>8</v>
      </c>
      <c r="F1055" s="1">
        <f>SUM(F1056:F1057)</f>
        <v>27.968572827411283</v>
      </c>
      <c r="G1055" s="1">
        <f t="shared" ref="G1055:K1055" si="691">SUM(G1056:G1057)</f>
        <v>29.954645823628386</v>
      </c>
      <c r="H1055" s="1">
        <f t="shared" si="691"/>
        <v>34.692895303204281</v>
      </c>
      <c r="I1055" s="1">
        <f t="shared" si="691"/>
        <v>50.12128677589871</v>
      </c>
      <c r="J1055" s="1">
        <f t="shared" si="691"/>
        <v>64.192037851813311</v>
      </c>
      <c r="K1055" s="1">
        <f t="shared" si="691"/>
        <v>58.886927660230761</v>
      </c>
    </row>
    <row r="1056" spans="2:13" x14ac:dyDescent="0.35">
      <c r="B1056" s="5" t="str">
        <f t="shared" si="658"/>
        <v>SPS3</v>
      </c>
      <c r="C1056" s="5" t="str">
        <f t="shared" si="690"/>
        <v>CH</v>
      </c>
      <c r="D1056" t="s">
        <v>1117</v>
      </c>
      <c r="E1056" t="s">
        <v>8</v>
      </c>
      <c r="F1056" s="1">
        <f>[1]Residential!B$102</f>
        <v>8.9081139346280516</v>
      </c>
      <c r="G1056" s="1">
        <f>[1]Residential!C$102</f>
        <v>7.8827655756882002</v>
      </c>
      <c r="H1056" s="1">
        <f>[1]Residential!D$102</f>
        <v>0.83176024456627584</v>
      </c>
      <c r="I1056" s="1">
        <f>[1]Residential!E$102</f>
        <v>0.15059323714698991</v>
      </c>
      <c r="J1056" s="1">
        <f>[1]Residential!F$102</f>
        <v>1.5030612352477339E-2</v>
      </c>
      <c r="K1056" s="1">
        <f>[1]Residential!G$102</f>
        <v>8.2317749697809559E-3</v>
      </c>
    </row>
    <row r="1057" spans="2:11" x14ac:dyDescent="0.35">
      <c r="B1057" s="5" t="str">
        <f t="shared" si="658"/>
        <v>SPS3</v>
      </c>
      <c r="C1057" s="5" t="str">
        <f t="shared" si="690"/>
        <v>CH</v>
      </c>
      <c r="D1057" t="s">
        <v>1118</v>
      </c>
      <c r="E1057" t="s">
        <v>8</v>
      </c>
      <c r="F1057" s="1">
        <f>[1]Residential!B$104</f>
        <v>19.060458892783231</v>
      </c>
      <c r="G1057" s="1">
        <f>[1]Residential!C$104</f>
        <v>22.071880247940186</v>
      </c>
      <c r="H1057" s="1">
        <f>[1]Residential!D$104</f>
        <v>33.861135058638006</v>
      </c>
      <c r="I1057" s="1">
        <f>[1]Residential!E$104</f>
        <v>49.970693538751718</v>
      </c>
      <c r="J1057" s="1">
        <f>[1]Residential!F$104</f>
        <v>64.177007239460835</v>
      </c>
      <c r="K1057" s="1">
        <f>[1]Residential!G$104</f>
        <v>58.878695885260981</v>
      </c>
    </row>
    <row r="1058" spans="2:11" x14ac:dyDescent="0.35">
      <c r="B1058" s="5" t="str">
        <f t="shared" si="658"/>
        <v>SPS3</v>
      </c>
      <c r="C1058" s="5" t="str">
        <f t="shared" si="690"/>
        <v>CH</v>
      </c>
      <c r="D1058" t="s">
        <v>1047</v>
      </c>
      <c r="E1058" t="s">
        <v>8</v>
      </c>
      <c r="F1058" s="1">
        <f>F1059</f>
        <v>45.124463015104894</v>
      </c>
      <c r="G1058" s="1">
        <f t="shared" ref="G1058:K1058" si="692">G1059</f>
        <v>38.717589896412377</v>
      </c>
      <c r="H1058" s="1">
        <f t="shared" si="692"/>
        <v>33.854027706068642</v>
      </c>
      <c r="I1058" s="1">
        <f t="shared" si="692"/>
        <v>15.570248792205529</v>
      </c>
      <c r="J1058" s="1">
        <f t="shared" si="692"/>
        <v>2.1170803537049041</v>
      </c>
      <c r="K1058" s="1">
        <f t="shared" si="692"/>
        <v>0.11105693934906968</v>
      </c>
    </row>
    <row r="1059" spans="2:11" x14ac:dyDescent="0.35">
      <c r="B1059" s="5" t="str">
        <f t="shared" si="658"/>
        <v>SPS3</v>
      </c>
      <c r="C1059" s="5" t="str">
        <f t="shared" si="690"/>
        <v>CH</v>
      </c>
      <c r="D1059" t="s">
        <v>1048</v>
      </c>
      <c r="E1059" t="s">
        <v>8</v>
      </c>
      <c r="F1059" s="1">
        <f>[1]Residential!B$105</f>
        <v>45.124463015104894</v>
      </c>
      <c r="G1059" s="1">
        <f>[1]Residential!C$105</f>
        <v>38.717589896412377</v>
      </c>
      <c r="H1059" s="1">
        <f>[1]Residential!D$105</f>
        <v>33.854027706068642</v>
      </c>
      <c r="I1059" s="1">
        <f>[1]Residential!E$105</f>
        <v>15.570248792205529</v>
      </c>
      <c r="J1059" s="1">
        <f>[1]Residential!F$105</f>
        <v>2.1170803537049041</v>
      </c>
      <c r="K1059" s="1">
        <f>[1]Residential!G$105</f>
        <v>0.11105693934906968</v>
      </c>
    </row>
    <row r="1060" spans="2:11" x14ac:dyDescent="0.35">
      <c r="B1060" s="5" t="str">
        <f t="shared" si="658"/>
        <v>SPS3</v>
      </c>
      <c r="C1060" s="5" t="str">
        <f t="shared" si="690"/>
        <v>CH</v>
      </c>
      <c r="D1060" t="s">
        <v>1049</v>
      </c>
      <c r="E1060" t="s">
        <v>8</v>
      </c>
      <c r="F1060" s="1">
        <f>SUM(F1061:F1062)</f>
        <v>36.569952289612701</v>
      </c>
      <c r="G1060" s="1">
        <f t="shared" ref="G1060:K1060" si="693">SUM(G1061:G1062)</f>
        <v>38.876137859676788</v>
      </c>
      <c r="H1060" s="1">
        <f t="shared" si="693"/>
        <v>35.69650023346405</v>
      </c>
      <c r="I1060" s="1">
        <f t="shared" si="693"/>
        <v>27.10940775937685</v>
      </c>
      <c r="J1060" s="1">
        <f t="shared" si="693"/>
        <v>12.140011844579661</v>
      </c>
      <c r="K1060" s="1">
        <f t="shared" si="693"/>
        <v>8.0362769093661459</v>
      </c>
    </row>
    <row r="1061" spans="2:11" x14ac:dyDescent="0.35">
      <c r="B1061" s="5" t="str">
        <f t="shared" si="658"/>
        <v>SPS3</v>
      </c>
      <c r="C1061" s="5" t="str">
        <f t="shared" si="690"/>
        <v>CH</v>
      </c>
      <c r="D1061" t="s">
        <v>1050</v>
      </c>
      <c r="E1061" t="s">
        <v>8</v>
      </c>
      <c r="F1061" s="1">
        <f>[1]Residential!B$106</f>
        <v>36.569952289612701</v>
      </c>
      <c r="G1061" s="1">
        <f>[1]Residential!C$106</f>
        <v>38.876137859676788</v>
      </c>
      <c r="H1061" s="1">
        <f>[1]Residential!D$106</f>
        <v>31.435503037435272</v>
      </c>
      <c r="I1061" s="1">
        <f>[1]Residential!E$106</f>
        <v>20.290138102575135</v>
      </c>
      <c r="J1061" s="1">
        <f>[1]Residential!F$106</f>
        <v>3.5744780680141561</v>
      </c>
      <c r="K1061" s="1">
        <f>[1]Residential!G$106</f>
        <v>1.4135908627666942</v>
      </c>
    </row>
    <row r="1062" spans="2:11" x14ac:dyDescent="0.35">
      <c r="B1062" s="5" t="str">
        <f t="shared" si="658"/>
        <v>SPS3</v>
      </c>
      <c r="C1062" s="5" t="str">
        <f t="shared" si="690"/>
        <v>CH</v>
      </c>
      <c r="D1062" t="s">
        <v>1051</v>
      </c>
      <c r="E1062" t="s">
        <v>8</v>
      </c>
      <c r="F1062" s="1">
        <f>[1]Residential!B$107</f>
        <v>0</v>
      </c>
      <c r="G1062" s="1">
        <f>[1]Residential!C$107</f>
        <v>0</v>
      </c>
      <c r="H1062" s="1">
        <f>[1]Residential!D$107</f>
        <v>4.2609971960287787</v>
      </c>
      <c r="I1062" s="1">
        <f>[1]Residential!E$107</f>
        <v>6.8192696568017173</v>
      </c>
      <c r="J1062" s="1">
        <f>[1]Residential!F$107</f>
        <v>8.5655337765655055</v>
      </c>
      <c r="K1062" s="1">
        <f>[1]Residential!G$107</f>
        <v>6.6226860465994513</v>
      </c>
    </row>
    <row r="1063" spans="2:11" x14ac:dyDescent="0.35">
      <c r="B1063" s="5" t="str">
        <f t="shared" si="658"/>
        <v>SPS3</v>
      </c>
      <c r="C1063" s="5" t="str">
        <f t="shared" si="690"/>
        <v>CH</v>
      </c>
      <c r="D1063" t="s">
        <v>1052</v>
      </c>
      <c r="E1063" t="s">
        <v>8</v>
      </c>
      <c r="F1063" s="1">
        <f>F1064</f>
        <v>7.2009273434694349E-2</v>
      </c>
      <c r="G1063" s="1">
        <f t="shared" ref="G1063:K1063" si="694">G1064</f>
        <v>7.2004580493110273E-2</v>
      </c>
      <c r="H1063" s="1">
        <f t="shared" si="694"/>
        <v>2.1053609766708083E-2</v>
      </c>
      <c r="I1063" s="1">
        <f t="shared" si="694"/>
        <v>0</v>
      </c>
      <c r="J1063" s="1">
        <f t="shared" si="694"/>
        <v>0</v>
      </c>
      <c r="K1063" s="1">
        <f t="shared" si="694"/>
        <v>0</v>
      </c>
    </row>
    <row r="1064" spans="2:11" x14ac:dyDescent="0.35">
      <c r="B1064" s="5" t="str">
        <f t="shared" si="658"/>
        <v>SPS3</v>
      </c>
      <c r="C1064" s="5" t="str">
        <f t="shared" si="690"/>
        <v>CH</v>
      </c>
      <c r="D1064" t="s">
        <v>1053</v>
      </c>
      <c r="E1064" t="s">
        <v>8</v>
      </c>
      <c r="F1064" s="1">
        <f>[1]Residential!B$108</f>
        <v>7.2009273434694349E-2</v>
      </c>
      <c r="G1064" s="1">
        <f>[1]Residential!C$108</f>
        <v>7.2004580493110273E-2</v>
      </c>
      <c r="H1064" s="1">
        <f>[1]Residential!D$108</f>
        <v>2.1053609766708083E-2</v>
      </c>
      <c r="I1064" s="1">
        <f>[1]Residential!E$108</f>
        <v>0</v>
      </c>
      <c r="J1064" s="1">
        <f>[1]Residential!F$108</f>
        <v>0</v>
      </c>
      <c r="K1064" s="1">
        <f>[1]Residential!G$108</f>
        <v>0</v>
      </c>
    </row>
    <row r="1065" spans="2:11" x14ac:dyDescent="0.35">
      <c r="B1065" s="5" t="str">
        <f t="shared" si="658"/>
        <v>SPS3</v>
      </c>
      <c r="C1065" s="5" t="str">
        <f t="shared" si="690"/>
        <v>CH</v>
      </c>
      <c r="D1065" t="s">
        <v>1054</v>
      </c>
      <c r="E1065" t="s">
        <v>8</v>
      </c>
      <c r="F1065" s="1">
        <f>SUM([1]Residential!B$109:B$110)</f>
        <v>6.5927891284462818</v>
      </c>
      <c r="G1065" s="1">
        <f>SUM([1]Residential!C$109:C$110)</f>
        <v>7.7004249169100341</v>
      </c>
      <c r="H1065" s="1">
        <f>SUM([1]Residential!D$109:D$110)</f>
        <v>5.9450874868765666</v>
      </c>
      <c r="I1065" s="1">
        <f>SUM([1]Residential!E$109:E$110)</f>
        <v>9.9001331774307424</v>
      </c>
      <c r="J1065" s="1">
        <f>SUM([1]Residential!F$109:F$110)</f>
        <v>9.6633271047285181</v>
      </c>
      <c r="K1065" s="1">
        <f>SUM([1]Residential!G$109:G$110)</f>
        <v>7.8417106248160398</v>
      </c>
    </row>
    <row r="1066" spans="2:11" x14ac:dyDescent="0.35">
      <c r="B1066" s="5" t="str">
        <f t="shared" si="658"/>
        <v>SPS3</v>
      </c>
      <c r="C1066" s="5" t="str">
        <f t="shared" si="690"/>
        <v>CH</v>
      </c>
      <c r="D1066" t="s">
        <v>1055</v>
      </c>
      <c r="E1066" t="s">
        <v>8</v>
      </c>
      <c r="F1066" s="1">
        <f>[1]Residential!B$109</f>
        <v>8.0226659797797639E-2</v>
      </c>
      <c r="G1066" s="1">
        <f>[1]Residential!C$109</f>
        <v>7.3054573122069925E-3</v>
      </c>
      <c r="H1066" s="1">
        <f>[1]Residential!D$109</f>
        <v>0</v>
      </c>
      <c r="I1066" s="1">
        <f>[1]Residential!E$109</f>
        <v>0</v>
      </c>
      <c r="J1066" s="1">
        <f>[1]Residential!F$109</f>
        <v>0</v>
      </c>
      <c r="K1066" s="1">
        <f>[1]Residential!G$109</f>
        <v>0</v>
      </c>
    </row>
    <row r="1067" spans="2:11" x14ac:dyDescent="0.35">
      <c r="B1067" s="5" t="str">
        <f t="shared" si="658"/>
        <v>SPS3</v>
      </c>
      <c r="C1067" s="5" t="str">
        <f t="shared" si="690"/>
        <v>CH</v>
      </c>
      <c r="D1067" t="s">
        <v>1056</v>
      </c>
      <c r="E1067" t="s">
        <v>8</v>
      </c>
      <c r="F1067" s="1">
        <f>IFERROR(F$1066/F$1041,0)*F1042</f>
        <v>7.8219788405353263E-2</v>
      </c>
      <c r="G1067" s="1">
        <f t="shared" ref="G1067:K1067" si="695">IFERROR(G$1066/G$1041,0)*G1042</f>
        <v>5.766038111040153E-3</v>
      </c>
      <c r="H1067" s="1">
        <f t="shared" si="695"/>
        <v>0</v>
      </c>
      <c r="I1067" s="1">
        <f t="shared" si="695"/>
        <v>0</v>
      </c>
      <c r="J1067" s="1">
        <f t="shared" si="695"/>
        <v>0</v>
      </c>
      <c r="K1067" s="1">
        <f t="shared" si="695"/>
        <v>0</v>
      </c>
    </row>
    <row r="1068" spans="2:11" x14ac:dyDescent="0.35">
      <c r="B1068" s="5" t="str">
        <f t="shared" si="658"/>
        <v>SPS3</v>
      </c>
      <c r="C1068" s="5" t="str">
        <f t="shared" si="690"/>
        <v>CH</v>
      </c>
      <c r="D1068" t="s">
        <v>1057</v>
      </c>
      <c r="E1068" t="s">
        <v>8</v>
      </c>
      <c r="F1068" s="1">
        <f t="shared" ref="F1068:K1068" si="696">IFERROR(F$1066/F$1041,0)*F1043</f>
        <v>0</v>
      </c>
      <c r="G1068" s="1">
        <f t="shared" si="696"/>
        <v>0</v>
      </c>
      <c r="H1068" s="1">
        <f t="shared" si="696"/>
        <v>0</v>
      </c>
      <c r="I1068" s="1">
        <f t="shared" si="696"/>
        <v>0</v>
      </c>
      <c r="J1068" s="1">
        <f t="shared" si="696"/>
        <v>0</v>
      </c>
      <c r="K1068" s="1">
        <f t="shared" si="696"/>
        <v>0</v>
      </c>
    </row>
    <row r="1069" spans="2:11" x14ac:dyDescent="0.35">
      <c r="B1069" s="5" t="str">
        <f t="shared" si="658"/>
        <v>SPS3</v>
      </c>
      <c r="C1069" s="5" t="str">
        <f t="shared" si="690"/>
        <v>CH</v>
      </c>
      <c r="D1069" t="s">
        <v>1058</v>
      </c>
      <c r="E1069" t="s">
        <v>8</v>
      </c>
      <c r="F1069" s="1">
        <f t="shared" ref="F1069:K1069" si="697">IFERROR(F$1066/F$1041,0)*F1044</f>
        <v>2.0068713924443812E-3</v>
      </c>
      <c r="G1069" s="1">
        <f t="shared" si="697"/>
        <v>1.5394192011668401E-3</v>
      </c>
      <c r="H1069" s="1">
        <f t="shared" si="697"/>
        <v>0</v>
      </c>
      <c r="I1069" s="1">
        <f t="shared" si="697"/>
        <v>0</v>
      </c>
      <c r="J1069" s="1">
        <f t="shared" si="697"/>
        <v>0</v>
      </c>
      <c r="K1069" s="1">
        <f t="shared" si="697"/>
        <v>0</v>
      </c>
    </row>
    <row r="1070" spans="2:11" x14ac:dyDescent="0.35">
      <c r="B1070" s="5" t="str">
        <f t="shared" si="658"/>
        <v>SPS3</v>
      </c>
      <c r="C1070" s="5" t="str">
        <f t="shared" si="690"/>
        <v>CH</v>
      </c>
      <c r="D1070" t="s">
        <v>1059</v>
      </c>
      <c r="E1070" t="s">
        <v>8</v>
      </c>
      <c r="F1070" s="1">
        <f>F1065-F1066</f>
        <v>6.5125624686484844</v>
      </c>
      <c r="G1070" s="1">
        <f t="shared" ref="G1070:K1070" si="698">G1065-G1066</f>
        <v>7.6931194595978267</v>
      </c>
      <c r="H1070" s="1">
        <f t="shared" si="698"/>
        <v>5.9450874868765666</v>
      </c>
      <c r="I1070" s="1">
        <f t="shared" si="698"/>
        <v>9.9001331774307424</v>
      </c>
      <c r="J1070" s="1">
        <f t="shared" si="698"/>
        <v>9.6633271047285181</v>
      </c>
      <c r="K1070" s="1">
        <f t="shared" si="698"/>
        <v>7.8417106248160398</v>
      </c>
    </row>
    <row r="1071" spans="2:11" x14ac:dyDescent="0.35">
      <c r="B1071" s="5" t="str">
        <f t="shared" si="658"/>
        <v>SPS3</v>
      </c>
      <c r="C1071" s="5" t="str">
        <f t="shared" si="690"/>
        <v>CH</v>
      </c>
      <c r="D1071" t="s">
        <v>1060</v>
      </c>
      <c r="E1071" t="s">
        <v>8</v>
      </c>
      <c r="F1071" s="1">
        <f>F1072</f>
        <v>9.1311050273780303</v>
      </c>
      <c r="G1071" s="1">
        <f t="shared" ref="G1071:K1071" si="699">G1072</f>
        <v>8.4584685211659352</v>
      </c>
      <c r="H1071" s="1">
        <f t="shared" si="699"/>
        <v>10.255455233993182</v>
      </c>
      <c r="I1071" s="1">
        <f t="shared" si="699"/>
        <v>8.1133818658094032</v>
      </c>
      <c r="J1071" s="1">
        <f t="shared" si="699"/>
        <v>4.5595084044133944</v>
      </c>
      <c r="K1071" s="1">
        <f t="shared" si="699"/>
        <v>2.0068373026773623</v>
      </c>
    </row>
    <row r="1072" spans="2:11" x14ac:dyDescent="0.35">
      <c r="B1072" s="5" t="str">
        <f t="shared" si="658"/>
        <v>SPS3</v>
      </c>
      <c r="C1072" s="5" t="str">
        <f t="shared" si="690"/>
        <v>CH</v>
      </c>
      <c r="D1072" t="s">
        <v>1061</v>
      </c>
      <c r="E1072" t="s">
        <v>8</v>
      </c>
      <c r="F1072" s="1">
        <f>[1]Residential!B$111</f>
        <v>9.1311050273780303</v>
      </c>
      <c r="G1072" s="1">
        <f>[1]Residential!C$111</f>
        <v>8.4584685211659352</v>
      </c>
      <c r="H1072" s="1">
        <f>[1]Residential!D$111</f>
        <v>10.255455233993182</v>
      </c>
      <c r="I1072" s="1">
        <f>[1]Residential!E$111</f>
        <v>8.1133818658094032</v>
      </c>
      <c r="J1072" s="1">
        <f>[1]Residential!F$111</f>
        <v>4.5595084044133944</v>
      </c>
      <c r="K1072" s="1">
        <f>[1]Residential!G$111</f>
        <v>2.0068373026773623</v>
      </c>
    </row>
    <row r="1073" spans="2:11" x14ac:dyDescent="0.35">
      <c r="B1073" s="5" t="str">
        <f t="shared" si="658"/>
        <v>SPS3</v>
      </c>
      <c r="C1073" s="5" t="str">
        <f t="shared" si="690"/>
        <v>CH</v>
      </c>
      <c r="D1073" t="s">
        <v>1062</v>
      </c>
      <c r="E1073" t="s">
        <v>8</v>
      </c>
      <c r="F1073" s="1">
        <f>F1074</f>
        <v>2.6969251919747599</v>
      </c>
      <c r="G1073" s="1">
        <f t="shared" ref="G1073:K1073" si="700">G1074</f>
        <v>3.1682485130410951</v>
      </c>
      <c r="H1073" s="1">
        <f t="shared" si="700"/>
        <v>0.18893352844919992</v>
      </c>
      <c r="I1073" s="1">
        <f t="shared" si="700"/>
        <v>0.16196284438090819</v>
      </c>
      <c r="J1073" s="1">
        <f t="shared" si="700"/>
        <v>9.3731444446831388E-2</v>
      </c>
      <c r="K1073" s="1">
        <f t="shared" si="700"/>
        <v>3.6082077980068371E-2</v>
      </c>
    </row>
    <row r="1074" spans="2:11" x14ac:dyDescent="0.35">
      <c r="B1074" s="5" t="str">
        <f t="shared" si="658"/>
        <v>SPS3</v>
      </c>
      <c r="C1074" s="5" t="str">
        <f t="shared" si="690"/>
        <v>CH</v>
      </c>
      <c r="D1074" t="s">
        <v>1063</v>
      </c>
      <c r="E1074" t="s">
        <v>8</v>
      </c>
      <c r="F1074" s="1">
        <f>[1]Residential!B$112</f>
        <v>2.6969251919747599</v>
      </c>
      <c r="G1074" s="1">
        <f>[1]Residential!C$112</f>
        <v>3.1682485130410951</v>
      </c>
      <c r="H1074" s="1">
        <f>[1]Residential!D$112</f>
        <v>0.18893352844919992</v>
      </c>
      <c r="I1074" s="1">
        <f>[1]Residential!E$112</f>
        <v>0.16196284438090819</v>
      </c>
      <c r="J1074" s="1">
        <f>[1]Residential!F$112</f>
        <v>9.3731444446831388E-2</v>
      </c>
      <c r="K1074" s="1">
        <f>[1]Residential!G$112</f>
        <v>3.6082077980068371E-2</v>
      </c>
    </row>
    <row r="1075" spans="2:11" x14ac:dyDescent="0.35">
      <c r="B1075" s="5" t="str">
        <f t="shared" si="658"/>
        <v>SPS3</v>
      </c>
      <c r="C1075" s="5" t="str">
        <f t="shared" si="690"/>
        <v>CH</v>
      </c>
      <c r="D1075" t="s">
        <v>1064</v>
      </c>
      <c r="E1075" t="s">
        <v>8</v>
      </c>
      <c r="F1075" s="1">
        <f>F1076</f>
        <v>0.78535802792239706</v>
      </c>
      <c r="G1075" s="1">
        <f t="shared" ref="G1075:K1075" si="701">G1076</f>
        <v>0.94139176510574873</v>
      </c>
      <c r="H1075" s="1">
        <f t="shared" si="701"/>
        <v>3.7127996076808882E-2</v>
      </c>
      <c r="I1075" s="1">
        <f t="shared" si="701"/>
        <v>4.8105704217225438E-2</v>
      </c>
      <c r="J1075" s="1">
        <f t="shared" si="701"/>
        <v>5.1522806839060145E-2</v>
      </c>
      <c r="K1075" s="1">
        <f t="shared" si="701"/>
        <v>5.0101877206738962E-2</v>
      </c>
    </row>
    <row r="1076" spans="2:11" x14ac:dyDescent="0.35">
      <c r="B1076" s="5" t="str">
        <f t="shared" ref="B1076:B1139" si="702">B1075</f>
        <v>SPS3</v>
      </c>
      <c r="C1076" s="5" t="str">
        <f t="shared" si="690"/>
        <v>CH</v>
      </c>
      <c r="D1076" t="s">
        <v>1065</v>
      </c>
      <c r="E1076" t="s">
        <v>8</v>
      </c>
      <c r="F1076" s="1">
        <f>[1]Residential!B$113</f>
        <v>0.78535802792239706</v>
      </c>
      <c r="G1076" s="1">
        <f>[1]Residential!C$113</f>
        <v>0.94139176510574873</v>
      </c>
      <c r="H1076" s="1">
        <f>[1]Residential!D$113</f>
        <v>3.7127996076808882E-2</v>
      </c>
      <c r="I1076" s="1">
        <f>[1]Residential!E$113</f>
        <v>4.8105704217225438E-2</v>
      </c>
      <c r="J1076" s="1">
        <f>[1]Residential!F$113</f>
        <v>5.1522806839060145E-2</v>
      </c>
      <c r="K1076" s="1">
        <f>[1]Residential!G$113</f>
        <v>5.0101877206738962E-2</v>
      </c>
    </row>
    <row r="1077" spans="2:11" x14ac:dyDescent="0.35">
      <c r="B1077" s="5" t="str">
        <f t="shared" si="702"/>
        <v>SPS3</v>
      </c>
      <c r="C1077" s="5" t="str">
        <f t="shared" si="690"/>
        <v>CH</v>
      </c>
      <c r="D1077" t="s">
        <v>1066</v>
      </c>
      <c r="E1077" t="s">
        <v>8</v>
      </c>
      <c r="F1077" s="1">
        <f>F1078</f>
        <v>0</v>
      </c>
      <c r="G1077" s="1">
        <f t="shared" ref="G1077:K1077" si="703">G1078</f>
        <v>0</v>
      </c>
      <c r="H1077" s="1">
        <f t="shared" si="703"/>
        <v>0</v>
      </c>
      <c r="I1077" s="1">
        <f t="shared" si="703"/>
        <v>0</v>
      </c>
      <c r="J1077" s="1">
        <f t="shared" si="703"/>
        <v>0</v>
      </c>
      <c r="K1077" s="1">
        <f t="shared" si="703"/>
        <v>0</v>
      </c>
    </row>
    <row r="1078" spans="2:11" x14ac:dyDescent="0.35">
      <c r="B1078" s="5" t="str">
        <f t="shared" si="702"/>
        <v>SPS3</v>
      </c>
      <c r="C1078" s="5" t="str">
        <f t="shared" si="690"/>
        <v>CH</v>
      </c>
      <c r="D1078" t="s">
        <v>1067</v>
      </c>
      <c r="E1078" t="s">
        <v>8</v>
      </c>
      <c r="F1078" s="1">
        <f>[1]Residential!B$114</f>
        <v>0</v>
      </c>
      <c r="G1078" s="1">
        <f>[1]Residential!C$114</f>
        <v>0</v>
      </c>
      <c r="H1078" s="1">
        <f>[1]Residential!D$114</f>
        <v>0</v>
      </c>
      <c r="I1078" s="1">
        <f>[1]Residential!E$114</f>
        <v>0</v>
      </c>
      <c r="J1078" s="1">
        <f>[1]Residential!F$114</f>
        <v>0</v>
      </c>
      <c r="K1078" s="1">
        <f>[1]Residential!G$114</f>
        <v>0</v>
      </c>
    </row>
    <row r="1079" spans="2:11" x14ac:dyDescent="0.35">
      <c r="B1079" s="5" t="str">
        <f t="shared" si="702"/>
        <v>SPS3</v>
      </c>
      <c r="C1079" s="5" t="str">
        <f t="shared" si="690"/>
        <v>CH</v>
      </c>
      <c r="D1079" t="s">
        <v>1068</v>
      </c>
      <c r="E1079" t="s">
        <v>8</v>
      </c>
      <c r="F1079" s="1">
        <f>[1]Residential!B$10-[1]Residential!B$223</f>
        <v>0.10521915041379323</v>
      </c>
      <c r="G1079" s="1">
        <f>[1]Residential!C$10-[1]Residential!C$223</f>
        <v>8.5253130367147048</v>
      </c>
      <c r="H1079" s="1">
        <f>[1]Residential!D$10-[1]Residential!D$223</f>
        <v>5.1471340367997902</v>
      </c>
      <c r="I1079" s="1">
        <f>[1]Residential!E$10-[1]Residential!E$223</f>
        <v>11.858779907443067</v>
      </c>
      <c r="J1079" s="1">
        <f>[1]Residential!F$10-[1]Residential!F$223</f>
        <v>22.358024911603756</v>
      </c>
      <c r="K1079" s="1">
        <f>[1]Residential!G$10-[1]Residential!G$223</f>
        <v>32.929458775903854</v>
      </c>
    </row>
    <row r="1080" spans="2:11" x14ac:dyDescent="0.35">
      <c r="B1080" s="5" t="str">
        <f t="shared" si="702"/>
        <v>SPS3</v>
      </c>
      <c r="C1080" s="5" t="str">
        <f t="shared" si="690"/>
        <v>CH</v>
      </c>
      <c r="D1080" t="s">
        <v>1069</v>
      </c>
      <c r="E1080" t="s">
        <v>8</v>
      </c>
      <c r="F1080" s="1">
        <f>[1]Residential!B$224</f>
        <v>26.978548157821823</v>
      </c>
      <c r="G1080" s="1">
        <f>[1]Residential!C$224</f>
        <v>25.929327291427619</v>
      </c>
      <c r="H1080" s="1">
        <f>[1]Residential!D$224</f>
        <v>21.71709166420581</v>
      </c>
      <c r="I1080" s="1">
        <f>[1]Residential!E$224</f>
        <v>22.105683074436541</v>
      </c>
      <c r="J1080" s="1">
        <f>[1]Residential!F$224</f>
        <v>25.94165857186163</v>
      </c>
      <c r="K1080" s="1">
        <f>[1]Residential!G$224</f>
        <v>26.487181273351748</v>
      </c>
    </row>
    <row r="1081" spans="2:11" x14ac:dyDescent="0.35">
      <c r="B1081" s="5" t="str">
        <f t="shared" si="702"/>
        <v>SPS3</v>
      </c>
      <c r="C1081" s="5" t="str">
        <f t="shared" si="690"/>
        <v>CH</v>
      </c>
      <c r="D1081" t="s">
        <v>1119</v>
      </c>
      <c r="E1081" t="s">
        <v>8</v>
      </c>
      <c r="F1081" s="1">
        <f>SUM(F1082:F1083)</f>
        <v>9.884711335445683</v>
      </c>
      <c r="G1081" s="1">
        <f t="shared" ref="G1081:K1081" si="704">SUM(G1082:G1083)</f>
        <v>10.60422147369944</v>
      </c>
      <c r="H1081" s="1">
        <f t="shared" si="704"/>
        <v>8.0706319196462672</v>
      </c>
      <c r="I1081" s="1">
        <f t="shared" si="704"/>
        <v>10.877319895272578</v>
      </c>
      <c r="J1081" s="1">
        <f t="shared" si="704"/>
        <v>16.230489173061155</v>
      </c>
      <c r="K1081" s="1">
        <f t="shared" si="704"/>
        <v>17.900392527726066</v>
      </c>
    </row>
    <row r="1082" spans="2:11" x14ac:dyDescent="0.35">
      <c r="B1082" s="5" t="str">
        <f t="shared" si="702"/>
        <v>SPS3</v>
      </c>
      <c r="C1082" s="5" t="str">
        <f t="shared" si="690"/>
        <v>CH</v>
      </c>
      <c r="D1082" t="s">
        <v>1120</v>
      </c>
      <c r="E1082" t="s">
        <v>8</v>
      </c>
      <c r="F1082" s="1">
        <f>[1]Residential!B$231-F1056</f>
        <v>6.6447555891329877</v>
      </c>
      <c r="G1082" s="1">
        <f>[1]Residential!C$231-G1056</f>
        <v>6.9687194620037616</v>
      </c>
      <c r="H1082" s="1">
        <f>[1]Residential!D$231-H1056</f>
        <v>2.8153177658560145</v>
      </c>
      <c r="I1082" s="1">
        <f>[1]Residential!E$231-I1056</f>
        <v>1.920007733134562</v>
      </c>
      <c r="J1082" s="1">
        <f>[1]Residential!F$231-J1056</f>
        <v>1.5906129019254351</v>
      </c>
      <c r="K1082" s="1">
        <f>[1]Residential!G$231-K1056</f>
        <v>1.3727003230498087</v>
      </c>
    </row>
    <row r="1083" spans="2:11" x14ac:dyDescent="0.35">
      <c r="B1083" s="5" t="str">
        <f t="shared" si="702"/>
        <v>SPS3</v>
      </c>
      <c r="C1083" s="5" t="str">
        <f t="shared" si="690"/>
        <v>CH</v>
      </c>
      <c r="D1083" t="s">
        <v>1121</v>
      </c>
      <c r="E1083" t="s">
        <v>8</v>
      </c>
      <c r="F1083" s="1">
        <f>[1]Residential!B$233-F1057</f>
        <v>3.2399557463126953</v>
      </c>
      <c r="G1083" s="1">
        <f>[1]Residential!C$233-G1057</f>
        <v>3.635502011695678</v>
      </c>
      <c r="H1083" s="1">
        <f>[1]Residential!D$233-H1057</f>
        <v>5.2553141537902519</v>
      </c>
      <c r="I1083" s="1">
        <f>[1]Residential!E$233-I1057</f>
        <v>8.9573121621380167</v>
      </c>
      <c r="J1083" s="1">
        <f>[1]Residential!F$233-J1057</f>
        <v>14.639876271135719</v>
      </c>
      <c r="K1083" s="1">
        <f>[1]Residential!G$233-K1057</f>
        <v>16.527692204676256</v>
      </c>
    </row>
    <row r="1084" spans="2:11" x14ac:dyDescent="0.35">
      <c r="B1084" s="5" t="str">
        <f t="shared" si="702"/>
        <v>SPS3</v>
      </c>
      <c r="C1084" s="5" t="str">
        <f t="shared" si="690"/>
        <v>CH</v>
      </c>
      <c r="D1084" t="s">
        <v>1070</v>
      </c>
      <c r="E1084" t="s">
        <v>8</v>
      </c>
      <c r="F1084" s="1">
        <f>F1085</f>
        <v>6.9844783444354377</v>
      </c>
      <c r="G1084" s="1">
        <f t="shared" ref="G1084:K1084" si="705">G1085</f>
        <v>5.5418368831692106</v>
      </c>
      <c r="H1084" s="1">
        <f t="shared" si="705"/>
        <v>4.4557078631136164</v>
      </c>
      <c r="I1084" s="1">
        <f t="shared" si="705"/>
        <v>1.8642485287373312</v>
      </c>
      <c r="J1084" s="1">
        <f t="shared" si="705"/>
        <v>0.41656280808695412</v>
      </c>
      <c r="K1084" s="1">
        <f t="shared" si="705"/>
        <v>1.2986891585222829E-2</v>
      </c>
    </row>
    <row r="1085" spans="2:11" x14ac:dyDescent="0.35">
      <c r="B1085" s="5" t="str">
        <f t="shared" si="702"/>
        <v>SPS3</v>
      </c>
      <c r="C1085" s="5" t="str">
        <f t="shared" si="690"/>
        <v>CH</v>
      </c>
      <c r="D1085" t="s">
        <v>1071</v>
      </c>
      <c r="E1085" t="s">
        <v>8</v>
      </c>
      <c r="F1085" s="1">
        <f>[1]Residential!B$234-F1059</f>
        <v>6.9844783444354377</v>
      </c>
      <c r="G1085" s="1">
        <f>[1]Residential!C$234-G1059</f>
        <v>5.5418368831692106</v>
      </c>
      <c r="H1085" s="1">
        <f>[1]Residential!D$234-H1059</f>
        <v>4.4557078631136164</v>
      </c>
      <c r="I1085" s="1">
        <f>[1]Residential!E$234-I1059</f>
        <v>1.8642485287373312</v>
      </c>
      <c r="J1085" s="1">
        <f>[1]Residential!F$234-J1059</f>
        <v>0.41656280808695412</v>
      </c>
      <c r="K1085" s="1">
        <f>[1]Residential!G$234-K1059</f>
        <v>1.2986891585222829E-2</v>
      </c>
    </row>
    <row r="1086" spans="2:11" x14ac:dyDescent="0.35">
      <c r="B1086" s="5" t="str">
        <f t="shared" si="702"/>
        <v>SPS3</v>
      </c>
      <c r="C1086" s="5" t="str">
        <f t="shared" si="690"/>
        <v>CH</v>
      </c>
      <c r="D1086" t="s">
        <v>1072</v>
      </c>
      <c r="E1086" t="s">
        <v>8</v>
      </c>
      <c r="F1086" s="1">
        <f>SUM(F1087:F1088)</f>
        <v>6.3804714197084706</v>
      </c>
      <c r="G1086" s="1">
        <f t="shared" ref="G1086:K1086" si="706">SUM(G1087:G1088)</f>
        <v>5.5409876753448657</v>
      </c>
      <c r="H1086" s="1">
        <f t="shared" si="706"/>
        <v>6.0792731351244651</v>
      </c>
      <c r="I1086" s="1">
        <f t="shared" si="706"/>
        <v>5.0002085411828077</v>
      </c>
      <c r="J1086" s="1">
        <f t="shared" si="706"/>
        <v>4.3410184802066762</v>
      </c>
      <c r="K1086" s="1">
        <f t="shared" si="706"/>
        <v>3.7578802141640635</v>
      </c>
    </row>
    <row r="1087" spans="2:11" x14ac:dyDescent="0.35">
      <c r="B1087" s="5" t="str">
        <f t="shared" si="702"/>
        <v>SPS3</v>
      </c>
      <c r="C1087" s="5" t="str">
        <f t="shared" si="690"/>
        <v>CH</v>
      </c>
      <c r="D1087" t="s">
        <v>1073</v>
      </c>
      <c r="E1087" t="s">
        <v>8</v>
      </c>
      <c r="F1087" s="1">
        <f>[1]Residential!B$235-F1061</f>
        <v>6.3804714197084706</v>
      </c>
      <c r="G1087" s="1">
        <f>[1]Residential!C$235-G1061</f>
        <v>5.5409876753448657</v>
      </c>
      <c r="H1087" s="1">
        <f>[1]Residential!D$235-H1061</f>
        <v>5.0881610997110975</v>
      </c>
      <c r="I1087" s="1">
        <f>[1]Residential!E$235-I1061</f>
        <v>2.9158369699585336</v>
      </c>
      <c r="J1087" s="1">
        <f>[1]Residential!F$235-J1061</f>
        <v>0.77217449650860281</v>
      </c>
      <c r="K1087" s="1">
        <f>[1]Residential!G$235-K1061</f>
        <v>0.33580317520106551</v>
      </c>
    </row>
    <row r="1088" spans="2:11" x14ac:dyDescent="0.35">
      <c r="B1088" s="5" t="str">
        <f t="shared" si="702"/>
        <v>SPS3</v>
      </c>
      <c r="C1088" s="5" t="str">
        <f t="shared" si="690"/>
        <v>CH</v>
      </c>
      <c r="D1088" t="s">
        <v>1074</v>
      </c>
      <c r="E1088" t="s">
        <v>8</v>
      </c>
      <c r="F1088" s="1">
        <f>[1]Residential!B$236-F1062</f>
        <v>0</v>
      </c>
      <c r="G1088" s="1">
        <f>[1]Residential!C$236-G1062</f>
        <v>0</v>
      </c>
      <c r="H1088" s="1">
        <f>[1]Residential!D$236-H1062</f>
        <v>0.99111203541336756</v>
      </c>
      <c r="I1088" s="1">
        <f>[1]Residential!E$236-I1062</f>
        <v>2.0843715712242741</v>
      </c>
      <c r="J1088" s="1">
        <f>[1]Residential!F$236-J1062</f>
        <v>3.5688439836980734</v>
      </c>
      <c r="K1088" s="1">
        <f>[1]Residential!G$236-K1062</f>
        <v>3.422077038962998</v>
      </c>
    </row>
    <row r="1089" spans="2:11" x14ac:dyDescent="0.35">
      <c r="B1089" s="5" t="str">
        <f t="shared" si="702"/>
        <v>SPS3</v>
      </c>
      <c r="C1089" s="5" t="str">
        <f t="shared" si="690"/>
        <v>CH</v>
      </c>
      <c r="D1089" t="s">
        <v>1075</v>
      </c>
      <c r="E1089" t="s">
        <v>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2:11" x14ac:dyDescent="0.35">
      <c r="B1090" s="5" t="str">
        <f t="shared" si="702"/>
        <v>SPS3</v>
      </c>
      <c r="C1090" s="5" t="str">
        <f t="shared" si="690"/>
        <v>CH</v>
      </c>
      <c r="D1090" t="s">
        <v>1076</v>
      </c>
      <c r="E1090" t="s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2:11" x14ac:dyDescent="0.35">
      <c r="B1091" s="5" t="str">
        <f t="shared" si="702"/>
        <v>SPS3</v>
      </c>
      <c r="C1091" s="5" t="str">
        <f t="shared" si="690"/>
        <v>CH</v>
      </c>
      <c r="D1091" t="s">
        <v>1077</v>
      </c>
      <c r="E1091" t="s">
        <v>8</v>
      </c>
      <c r="F1091" s="1">
        <f>SUM(F1092,F1096)</f>
        <v>1.3170843220260704</v>
      </c>
      <c r="G1091" s="1">
        <f t="shared" ref="G1091:K1091" si="707">SUM(G1092,G1096)</f>
        <v>1.4633806639627862</v>
      </c>
      <c r="H1091" s="1">
        <f t="shared" si="707"/>
        <v>0.96339061486362709</v>
      </c>
      <c r="I1091" s="1">
        <f t="shared" si="707"/>
        <v>1.8668723730836234</v>
      </c>
      <c r="J1091" s="1">
        <f t="shared" si="707"/>
        <v>2.1876436963903814</v>
      </c>
      <c r="K1091" s="1">
        <f t="shared" si="707"/>
        <v>2.0932789911957084</v>
      </c>
    </row>
    <row r="1092" spans="2:11" x14ac:dyDescent="0.35">
      <c r="B1092" s="5" t="str">
        <f t="shared" si="702"/>
        <v>SPS3</v>
      </c>
      <c r="C1092" s="5" t="str">
        <f t="shared" si="690"/>
        <v>CH</v>
      </c>
      <c r="D1092" t="s">
        <v>1078</v>
      </c>
      <c r="E1092" t="s">
        <v>8</v>
      </c>
      <c r="F1092" s="1">
        <f>[1]Residential!B$238-F1066</f>
        <v>1.6027401114996759E-2</v>
      </c>
      <c r="G1092" s="1">
        <f>[1]Residential!C$238-G1066</f>
        <v>1.3883214351733623E-3</v>
      </c>
      <c r="H1092" s="1">
        <f>[1]Residential!D$238-H1066</f>
        <v>0</v>
      </c>
      <c r="I1092" s="1">
        <f>[1]Residential!E$238-I1066</f>
        <v>0</v>
      </c>
      <c r="J1092" s="1">
        <f>[1]Residential!F$238-J1066</f>
        <v>0</v>
      </c>
      <c r="K1092" s="1">
        <f>[1]Residential!G$238-K1066</f>
        <v>0</v>
      </c>
    </row>
    <row r="1093" spans="2:11" x14ac:dyDescent="0.35">
      <c r="B1093" s="5" t="str">
        <f t="shared" si="702"/>
        <v>SPS3</v>
      </c>
      <c r="C1093" s="5" t="str">
        <f t="shared" si="690"/>
        <v>CH</v>
      </c>
      <c r="D1093" t="s">
        <v>1079</v>
      </c>
      <c r="E1093" t="s">
        <v>8</v>
      </c>
      <c r="F1093" s="1">
        <f>IFERROR(F$1092/F$1041,0)*F1042</f>
        <v>1.5626475376919337E-2</v>
      </c>
      <c r="G1093" s="1">
        <f t="shared" ref="G1093:K1095" si="708">IFERROR(G$1092/G$1041,0)*G1042</f>
        <v>1.0957718269337484E-3</v>
      </c>
      <c r="H1093" s="1">
        <f t="shared" si="708"/>
        <v>0</v>
      </c>
      <c r="I1093" s="1">
        <f t="shared" si="708"/>
        <v>0</v>
      </c>
      <c r="J1093" s="1">
        <f t="shared" si="708"/>
        <v>0</v>
      </c>
      <c r="K1093" s="1">
        <f t="shared" si="708"/>
        <v>0</v>
      </c>
    </row>
    <row r="1094" spans="2:11" x14ac:dyDescent="0.35">
      <c r="B1094" s="5" t="str">
        <f t="shared" si="702"/>
        <v>SPS3</v>
      </c>
      <c r="C1094" s="5" t="str">
        <f t="shared" si="690"/>
        <v>CH</v>
      </c>
      <c r="D1094" t="s">
        <v>1080</v>
      </c>
      <c r="E1094" t="s">
        <v>8</v>
      </c>
      <c r="F1094" s="1">
        <f>IFERROR(F$1092/F$1041,0)*F1043</f>
        <v>0</v>
      </c>
      <c r="G1094" s="1">
        <f t="shared" si="708"/>
        <v>0</v>
      </c>
      <c r="H1094" s="1">
        <f t="shared" si="708"/>
        <v>0</v>
      </c>
      <c r="I1094" s="1">
        <f t="shared" si="708"/>
        <v>0</v>
      </c>
      <c r="J1094" s="1">
        <f t="shared" si="708"/>
        <v>0</v>
      </c>
      <c r="K1094" s="1">
        <f t="shared" si="708"/>
        <v>0</v>
      </c>
    </row>
    <row r="1095" spans="2:11" x14ac:dyDescent="0.35">
      <c r="B1095" s="5" t="str">
        <f t="shared" si="702"/>
        <v>SPS3</v>
      </c>
      <c r="C1095" s="5" t="str">
        <f t="shared" si="690"/>
        <v>CH</v>
      </c>
      <c r="D1095" t="s">
        <v>1081</v>
      </c>
      <c r="E1095" t="s">
        <v>8</v>
      </c>
      <c r="F1095" s="1">
        <f>IFERROR(F$1092/F$1041,0)*F1044</f>
        <v>4.0092573807742085E-4</v>
      </c>
      <c r="G1095" s="1">
        <f t="shared" si="708"/>
        <v>2.9254960823961386E-4</v>
      </c>
      <c r="H1095" s="1">
        <f t="shared" si="708"/>
        <v>0</v>
      </c>
      <c r="I1095" s="1">
        <f t="shared" si="708"/>
        <v>0</v>
      </c>
      <c r="J1095" s="1">
        <f t="shared" si="708"/>
        <v>0</v>
      </c>
      <c r="K1095" s="1">
        <f t="shared" si="708"/>
        <v>0</v>
      </c>
    </row>
    <row r="1096" spans="2:11" x14ac:dyDescent="0.35">
      <c r="B1096" s="5" t="str">
        <f t="shared" si="702"/>
        <v>SPS3</v>
      </c>
      <c r="C1096" s="5" t="str">
        <f t="shared" si="690"/>
        <v>CH</v>
      </c>
      <c r="D1096" t="s">
        <v>1082</v>
      </c>
      <c r="E1096" t="s">
        <v>8</v>
      </c>
      <c r="F1096" s="1">
        <f>[1]Residential!B$239-F1070</f>
        <v>1.3010569209110736</v>
      </c>
      <c r="G1096" s="1">
        <f>[1]Residential!C$239-G1070</f>
        <v>1.4619923425276129</v>
      </c>
      <c r="H1096" s="1">
        <f>[1]Residential!D$239-H1070</f>
        <v>0.96339061486362709</v>
      </c>
      <c r="I1096" s="1">
        <f>[1]Residential!E$239-I1070</f>
        <v>1.8668723730836234</v>
      </c>
      <c r="J1096" s="1">
        <f>[1]Residential!F$239-J1070</f>
        <v>2.1876436963903814</v>
      </c>
      <c r="K1096" s="1">
        <f>[1]Residential!G$239-K1070</f>
        <v>2.0932789911957084</v>
      </c>
    </row>
    <row r="1097" spans="2:11" x14ac:dyDescent="0.35">
      <c r="B1097" s="5" t="str">
        <f t="shared" si="702"/>
        <v>SPS3</v>
      </c>
      <c r="C1097" s="5" t="str">
        <f t="shared" si="690"/>
        <v>CH</v>
      </c>
      <c r="D1097" t="s">
        <v>1083</v>
      </c>
      <c r="E1097" t="s">
        <v>8</v>
      </c>
      <c r="F1097" s="1">
        <f>F1098</f>
        <v>0.52049258579586777</v>
      </c>
      <c r="G1097" s="1">
        <f t="shared" ref="G1097:K1097" si="709">G1098</f>
        <v>0.5972609359536829</v>
      </c>
      <c r="H1097" s="1">
        <f t="shared" si="709"/>
        <v>1.0959929672789634</v>
      </c>
      <c r="I1097" s="1">
        <f t="shared" si="709"/>
        <v>0.95055540267718364</v>
      </c>
      <c r="J1097" s="1">
        <f t="shared" si="709"/>
        <v>0.66191850158908316</v>
      </c>
      <c r="K1097" s="1">
        <f t="shared" si="709"/>
        <v>0.35968849703516792</v>
      </c>
    </row>
    <row r="1098" spans="2:11" x14ac:dyDescent="0.35">
      <c r="B1098" s="5" t="str">
        <f t="shared" si="702"/>
        <v>SPS3</v>
      </c>
      <c r="C1098" s="5" t="str">
        <f t="shared" si="690"/>
        <v>CH</v>
      </c>
      <c r="D1098" t="s">
        <v>1084</v>
      </c>
      <c r="E1098" t="s">
        <v>8</v>
      </c>
      <c r="F1098" s="1">
        <f>[1]Residential!B$240-F1072</f>
        <v>0.52049258579586777</v>
      </c>
      <c r="G1098" s="1">
        <f>[1]Residential!C$240-G1072</f>
        <v>0.5972609359536829</v>
      </c>
      <c r="H1098" s="1">
        <f>[1]Residential!D$240-H1072</f>
        <v>1.0959929672789634</v>
      </c>
      <c r="I1098" s="1">
        <f>[1]Residential!E$240-I1072</f>
        <v>0.95055540267718364</v>
      </c>
      <c r="J1098" s="1">
        <f>[1]Residential!F$240-J1072</f>
        <v>0.66191850158908316</v>
      </c>
      <c r="K1098" s="1">
        <f>[1]Residential!G$240-K1072</f>
        <v>0.35968849703516792</v>
      </c>
    </row>
    <row r="1099" spans="2:11" x14ac:dyDescent="0.35">
      <c r="B1099" s="5" t="str">
        <f t="shared" si="702"/>
        <v>SPS3</v>
      </c>
      <c r="C1099" s="5" t="str">
        <f t="shared" si="690"/>
        <v>CH</v>
      </c>
      <c r="D1099" t="s">
        <v>1085</v>
      </c>
      <c r="E1099" t="s">
        <v>8</v>
      </c>
      <c r="F1099" s="1">
        <f>F1100</f>
        <v>0.16982212575043798</v>
      </c>
      <c r="G1099" s="1">
        <f t="shared" ref="G1099" si="710">G1100</f>
        <v>0.19484429373600642</v>
      </c>
      <c r="H1099" s="1">
        <f t="shared" ref="H1099" si="711">H1100</f>
        <v>3.8123747283532239E-2</v>
      </c>
      <c r="I1099" s="1">
        <f t="shared" ref="I1099" si="712">I1100</f>
        <v>3.4366968913056323E-2</v>
      </c>
      <c r="J1099" s="1">
        <f t="shared" ref="J1099" si="713">J1100</f>
        <v>2.2846258996487512E-2</v>
      </c>
      <c r="K1099" s="1">
        <f t="shared" ref="K1099" si="714">K1100</f>
        <v>8.9884563151394689E-3</v>
      </c>
    </row>
    <row r="1100" spans="2:11" x14ac:dyDescent="0.35">
      <c r="B1100" s="5" t="str">
        <f t="shared" si="702"/>
        <v>SPS3</v>
      </c>
      <c r="C1100" s="5" t="str">
        <f t="shared" si="690"/>
        <v>CH</v>
      </c>
      <c r="D1100" t="s">
        <v>1086</v>
      </c>
      <c r="E1100" t="s">
        <v>8</v>
      </c>
      <c r="F1100" s="1">
        <f>[1]Residential!B$241-F1074</f>
        <v>0.16982212575043798</v>
      </c>
      <c r="G1100" s="1">
        <f>[1]Residential!C$241-G1074</f>
        <v>0.19484429373600642</v>
      </c>
      <c r="H1100" s="1">
        <f>[1]Residential!D$241-H1074</f>
        <v>3.8123747283532239E-2</v>
      </c>
      <c r="I1100" s="1">
        <f>[1]Residential!E$241-I1074</f>
        <v>3.4366968913056323E-2</v>
      </c>
      <c r="J1100" s="1">
        <f>[1]Residential!F$241-J1074</f>
        <v>2.2846258996487512E-2</v>
      </c>
      <c r="K1100" s="1">
        <f>[1]Residential!G$241-K1074</f>
        <v>8.9884563151394689E-3</v>
      </c>
    </row>
    <row r="1101" spans="2:11" x14ac:dyDescent="0.35">
      <c r="B1101" s="5" t="str">
        <f t="shared" si="702"/>
        <v>SPS3</v>
      </c>
      <c r="C1101" s="5" t="str">
        <f t="shared" si="690"/>
        <v>CH</v>
      </c>
      <c r="D1101" t="s">
        <v>1087</v>
      </c>
      <c r="E1101" t="s">
        <v>8</v>
      </c>
      <c r="F1101" s="1">
        <f>F1102</f>
        <v>1.7214880246598512</v>
      </c>
      <c r="G1101" s="1">
        <f t="shared" ref="G1101" si="715">G1102</f>
        <v>1.9867953655616275</v>
      </c>
      <c r="H1101" s="1">
        <f t="shared" ref="H1101" si="716">H1102</f>
        <v>1.0139714168953435</v>
      </c>
      <c r="I1101" s="1">
        <f t="shared" ref="I1101" si="717">I1102</f>
        <v>1.5121113645699555</v>
      </c>
      <c r="J1101" s="1">
        <f t="shared" ref="J1101" si="718">J1102</f>
        <v>2.0811796535308957</v>
      </c>
      <c r="K1101" s="1">
        <f t="shared" ref="K1101" si="719">K1102</f>
        <v>2.35396569533038</v>
      </c>
    </row>
    <row r="1102" spans="2:11" x14ac:dyDescent="0.35">
      <c r="B1102" s="5" t="str">
        <f t="shared" si="702"/>
        <v>SPS3</v>
      </c>
      <c r="C1102" s="5" t="str">
        <f t="shared" si="690"/>
        <v>CH</v>
      </c>
      <c r="D1102" t="s">
        <v>1088</v>
      </c>
      <c r="E1102" t="s">
        <v>8</v>
      </c>
      <c r="F1102" s="1">
        <f>[1]Residential!B$242-F1076</f>
        <v>1.7214880246598512</v>
      </c>
      <c r="G1102" s="1">
        <f>[1]Residential!C$242-G1076</f>
        <v>1.9867953655616275</v>
      </c>
      <c r="H1102" s="1">
        <f>[1]Residential!D$242-H1076</f>
        <v>1.0139714168953435</v>
      </c>
      <c r="I1102" s="1">
        <f>[1]Residential!E$242-I1076</f>
        <v>1.5121113645699555</v>
      </c>
      <c r="J1102" s="1">
        <f>[1]Residential!F$242-J1076</f>
        <v>2.0811796535308957</v>
      </c>
      <c r="K1102" s="1">
        <f>[1]Residential!G$242-K1076</f>
        <v>2.35396569533038</v>
      </c>
    </row>
    <row r="1103" spans="2:11" x14ac:dyDescent="0.35">
      <c r="B1103" s="5" t="str">
        <f t="shared" si="702"/>
        <v>SPS3</v>
      </c>
      <c r="C1103" s="5" t="str">
        <f t="shared" si="690"/>
        <v>CH</v>
      </c>
      <c r="D1103" t="s">
        <v>1089</v>
      </c>
      <c r="E1103" t="s">
        <v>8</v>
      </c>
      <c r="F1103" s="1">
        <f>F1104</f>
        <v>0</v>
      </c>
      <c r="G1103" s="1">
        <f t="shared" ref="G1103" si="720">G1104</f>
        <v>0</v>
      </c>
      <c r="H1103" s="1">
        <f t="shared" ref="H1103" si="721">H1104</f>
        <v>0</v>
      </c>
      <c r="I1103" s="1">
        <f t="shared" ref="I1103" si="722">I1104</f>
        <v>0</v>
      </c>
      <c r="J1103" s="1">
        <f t="shared" ref="J1103" si="723">J1104</f>
        <v>0</v>
      </c>
      <c r="K1103" s="1">
        <f t="shared" ref="K1103" si="724">K1104</f>
        <v>0</v>
      </c>
    </row>
    <row r="1104" spans="2:11" x14ac:dyDescent="0.35">
      <c r="B1104" s="5" t="str">
        <f t="shared" si="702"/>
        <v>SPS3</v>
      </c>
      <c r="C1104" s="5" t="str">
        <f t="shared" si="690"/>
        <v>CH</v>
      </c>
      <c r="D1104" t="s">
        <v>1090</v>
      </c>
      <c r="E1104" t="s">
        <v>8</v>
      </c>
      <c r="F1104" s="1">
        <f>[1]Residential!B$243-F1078</f>
        <v>0</v>
      </c>
      <c r="G1104" s="1">
        <f>[1]Residential!C$243-G1078</f>
        <v>0</v>
      </c>
      <c r="H1104" s="1">
        <f>[1]Residential!D$243-H1078</f>
        <v>0</v>
      </c>
      <c r="I1104" s="1">
        <f>[1]Residential!E$243-I1078</f>
        <v>0</v>
      </c>
      <c r="J1104" s="1">
        <f>[1]Residential!F$243-J1078</f>
        <v>0</v>
      </c>
      <c r="K1104" s="1">
        <f>[1]Residential!G$243-K1078</f>
        <v>0</v>
      </c>
    </row>
    <row r="1105" spans="2:11" x14ac:dyDescent="0.35">
      <c r="B1105" s="5" t="str">
        <f t="shared" si="702"/>
        <v>SPS3</v>
      </c>
      <c r="C1105" s="5" t="str">
        <f t="shared" si="690"/>
        <v>CH</v>
      </c>
      <c r="D1105" t="s">
        <v>1091</v>
      </c>
      <c r="E1105" t="s">
        <v>8</v>
      </c>
      <c r="F1105" s="1">
        <f>[1]Residential!B$244-F1079</f>
        <v>0</v>
      </c>
      <c r="G1105" s="1">
        <f>[1]Residential!C$244-G1079</f>
        <v>0</v>
      </c>
      <c r="H1105" s="1">
        <f>[1]Residential!D$244-H1079</f>
        <v>0</v>
      </c>
      <c r="I1105" s="1">
        <f>[1]Residential!E$244-I1079</f>
        <v>0</v>
      </c>
      <c r="J1105" s="1">
        <f>[1]Residential!F$244-J1079</f>
        <v>0</v>
      </c>
      <c r="K1105" s="1">
        <f>[1]Residential!G$244-K1079</f>
        <v>0</v>
      </c>
    </row>
    <row r="1106" spans="2:11" x14ac:dyDescent="0.35">
      <c r="B1106" s="5" t="str">
        <f t="shared" si="702"/>
        <v>SPS3</v>
      </c>
      <c r="C1106" s="5" t="str">
        <f t="shared" ref="C1106:C1133" si="725">C1105</f>
        <v>CH</v>
      </c>
      <c r="D1106" s="2" t="s">
        <v>1092</v>
      </c>
      <c r="E1106" s="2" t="s">
        <v>240</v>
      </c>
      <c r="F1106" t="s">
        <v>292</v>
      </c>
      <c r="G1106" t="s">
        <v>292</v>
      </c>
      <c r="H1106" t="s">
        <v>292</v>
      </c>
      <c r="I1106" t="s">
        <v>292</v>
      </c>
      <c r="J1106" t="s">
        <v>292</v>
      </c>
      <c r="K1106" t="s">
        <v>292</v>
      </c>
    </row>
    <row r="1107" spans="2:11" x14ac:dyDescent="0.35">
      <c r="B1107" s="5" t="str">
        <f t="shared" si="702"/>
        <v>SPS3</v>
      </c>
      <c r="C1107" s="5" t="str">
        <f>C1106</f>
        <v>CH</v>
      </c>
      <c r="D1107" t="s">
        <v>1122</v>
      </c>
      <c r="E1107" t="s">
        <v>240</v>
      </c>
      <c r="F1107" s="4">
        <f>IFERROR(F1056/F973,"-")</f>
        <v>0.94999999999999951</v>
      </c>
      <c r="G1107" s="4">
        <f t="shared" ref="G1107:K1108" si="726">IFERROR(G1056/G973,"-")</f>
        <v>0.95000000000000007</v>
      </c>
      <c r="H1107" s="4">
        <f t="shared" si="726"/>
        <v>0.9178464134676978</v>
      </c>
      <c r="I1107" s="4">
        <f t="shared" si="726"/>
        <v>0.92027938566570089</v>
      </c>
      <c r="J1107" s="4">
        <f t="shared" si="726"/>
        <v>0.94387972815020915</v>
      </c>
      <c r="K1107" s="4">
        <f t="shared" si="726"/>
        <v>0.94654826769118294</v>
      </c>
    </row>
    <row r="1108" spans="2:11" x14ac:dyDescent="0.35">
      <c r="B1108" s="5" t="str">
        <f t="shared" si="702"/>
        <v>SPS3</v>
      </c>
      <c r="C1108" s="5" t="str">
        <f t="shared" si="725"/>
        <v>CH</v>
      </c>
      <c r="D1108" t="s">
        <v>1123</v>
      </c>
      <c r="E1108" t="s">
        <v>240</v>
      </c>
      <c r="F1108" s="4">
        <f>IFERROR(F1057/F974,"-")</f>
        <v>3.2</v>
      </c>
      <c r="G1108" s="4">
        <f t="shared" si="726"/>
        <v>3.253333333333329</v>
      </c>
      <c r="H1108" s="4">
        <f t="shared" si="726"/>
        <v>2.9966473470416006</v>
      </c>
      <c r="I1108" s="4">
        <f t="shared" si="726"/>
        <v>3.3358642969094512</v>
      </c>
      <c r="J1108" s="4">
        <f t="shared" si="726"/>
        <v>3.7321151367159513</v>
      </c>
      <c r="K1108" s="4">
        <f t="shared" si="726"/>
        <v>4.1275610548153816</v>
      </c>
    </row>
    <row r="1109" spans="2:11" x14ac:dyDescent="0.35">
      <c r="B1109" s="5" t="str">
        <f t="shared" si="702"/>
        <v>SPS3</v>
      </c>
      <c r="C1109" s="5" t="str">
        <f t="shared" si="725"/>
        <v>CH</v>
      </c>
      <c r="D1109" t="s">
        <v>1093</v>
      </c>
      <c r="E1109" t="s">
        <v>240</v>
      </c>
      <c r="F1109" s="4">
        <f>IFERROR(F1059/F983,"-")</f>
        <v>0.89583333333333393</v>
      </c>
      <c r="G1109" s="4">
        <f t="shared" ref="G1109:K1109" si="727">IFERROR(G1059/G983,"-")</f>
        <v>0.89583333333333426</v>
      </c>
      <c r="H1109" s="4">
        <f t="shared" si="727"/>
        <v>0.8542236877496473</v>
      </c>
      <c r="I1109" s="4">
        <f t="shared" si="727"/>
        <v>0.87007766809634746</v>
      </c>
      <c r="J1109" s="4">
        <f t="shared" si="727"/>
        <v>0.87128925482121033</v>
      </c>
      <c r="K1109" s="4">
        <f t="shared" si="727"/>
        <v>0.86764546789369124</v>
      </c>
    </row>
    <row r="1110" spans="2:11" x14ac:dyDescent="0.35">
      <c r="B1110" s="5" t="str">
        <f t="shared" si="702"/>
        <v>SPS3</v>
      </c>
      <c r="C1110" s="5" t="str">
        <f t="shared" si="725"/>
        <v>CH</v>
      </c>
      <c r="D1110" t="s">
        <v>1094</v>
      </c>
      <c r="E1110" t="s">
        <v>240</v>
      </c>
      <c r="F1110" s="4">
        <f>IFERROR(F1061/F996,"-")</f>
        <v>0.95000000000000084</v>
      </c>
      <c r="G1110" s="4">
        <f t="shared" ref="G1110:K1110" si="728">IFERROR(G1061/G996,"-")</f>
        <v>0.95000000000000062</v>
      </c>
      <c r="H1110" s="4">
        <f t="shared" si="728"/>
        <v>0.93420860894580138</v>
      </c>
      <c r="I1110" s="4">
        <f t="shared" si="728"/>
        <v>0.93426628705893722</v>
      </c>
      <c r="J1110" s="4">
        <f t="shared" si="728"/>
        <v>0.93139591667407728</v>
      </c>
      <c r="K1110" s="4">
        <f t="shared" si="728"/>
        <v>0.94009484407776223</v>
      </c>
    </row>
    <row r="1111" spans="2:11" x14ac:dyDescent="0.35">
      <c r="B1111" s="5" t="str">
        <f t="shared" si="702"/>
        <v>SPS3</v>
      </c>
      <c r="C1111" s="5" t="str">
        <f t="shared" si="725"/>
        <v>CH</v>
      </c>
      <c r="D1111" t="s">
        <v>1095</v>
      </c>
      <c r="E1111" t="s">
        <v>240</v>
      </c>
      <c r="F1111" s="4" t="str">
        <f>IFERROR(F1062/F997,"-")</f>
        <v>-</v>
      </c>
      <c r="G1111" s="4" t="str">
        <f t="shared" ref="G1111:K1111" si="729">IFERROR(G1062/G997,"-")</f>
        <v>-</v>
      </c>
      <c r="H1111" s="4">
        <f t="shared" si="729"/>
        <v>1.8634754392632069</v>
      </c>
      <c r="I1111" s="4">
        <f t="shared" si="729"/>
        <v>1.9494037496231853</v>
      </c>
      <c r="J1111" s="4">
        <f t="shared" si="729"/>
        <v>2.0304661571499913</v>
      </c>
      <c r="K1111" s="4">
        <f t="shared" si="729"/>
        <v>2.1309474879082333</v>
      </c>
    </row>
    <row r="1112" spans="2:11" x14ac:dyDescent="0.35">
      <c r="B1112" s="5" t="str">
        <f t="shared" si="702"/>
        <v>SPS3</v>
      </c>
      <c r="C1112" s="5" t="str">
        <f t="shared" si="725"/>
        <v>CH</v>
      </c>
      <c r="D1112" t="s">
        <v>1096</v>
      </c>
      <c r="E1112" t="s">
        <v>240</v>
      </c>
      <c r="F1112" s="4">
        <f>IFERROR(F1064/F1015,"-")</f>
        <v>0.71999999999999986</v>
      </c>
      <c r="G1112" s="4">
        <f t="shared" ref="G1112:K1112" si="730">IFERROR(G1064/G1015,"-")</f>
        <v>0.72000000000000042</v>
      </c>
      <c r="H1112" s="4">
        <f t="shared" si="730"/>
        <v>0.79920141245721577</v>
      </c>
      <c r="I1112" s="4" t="str">
        <f t="shared" si="730"/>
        <v>-</v>
      </c>
      <c r="J1112" s="4" t="str">
        <f t="shared" si="730"/>
        <v>-</v>
      </c>
      <c r="K1112" s="4" t="str">
        <f t="shared" si="730"/>
        <v>-</v>
      </c>
    </row>
    <row r="1113" spans="2:11" x14ac:dyDescent="0.35">
      <c r="B1113" s="5" t="str">
        <f t="shared" si="702"/>
        <v>SPS3</v>
      </c>
      <c r="C1113" s="5" t="str">
        <f t="shared" si="725"/>
        <v>CH</v>
      </c>
      <c r="D1113" t="s">
        <v>1097</v>
      </c>
      <c r="E1113" t="s">
        <v>240</v>
      </c>
      <c r="F1113" s="4">
        <v>0.99</v>
      </c>
      <c r="G1113" s="4">
        <v>0.99</v>
      </c>
      <c r="H1113" s="4">
        <v>0.99</v>
      </c>
      <c r="I1113" s="4">
        <v>0.99</v>
      </c>
      <c r="J1113" s="4">
        <v>0.99</v>
      </c>
      <c r="K1113" s="4">
        <v>0.99</v>
      </c>
    </row>
    <row r="1114" spans="2:11" x14ac:dyDescent="0.35">
      <c r="B1114" s="5" t="str">
        <f t="shared" si="702"/>
        <v>SPS3</v>
      </c>
      <c r="C1114" s="5" t="str">
        <f t="shared" si="725"/>
        <v>CH</v>
      </c>
      <c r="D1114" t="s">
        <v>1098</v>
      </c>
      <c r="E1114" t="s">
        <v>240</v>
      </c>
      <c r="F1114" s="4">
        <v>0.99</v>
      </c>
      <c r="G1114" s="4">
        <v>0.99</v>
      </c>
      <c r="H1114" s="4">
        <v>0.99</v>
      </c>
      <c r="I1114" s="4">
        <v>0.99</v>
      </c>
      <c r="J1114" s="4">
        <v>0.99</v>
      </c>
      <c r="K1114" s="4">
        <v>0.99</v>
      </c>
    </row>
    <row r="1115" spans="2:11" x14ac:dyDescent="0.35">
      <c r="B1115" s="5" t="str">
        <f t="shared" si="702"/>
        <v>SPS3</v>
      </c>
      <c r="C1115" s="5" t="str">
        <f t="shared" si="725"/>
        <v>CH</v>
      </c>
      <c r="D1115" t="s">
        <v>1099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</row>
    <row r="1116" spans="2:11" x14ac:dyDescent="0.35">
      <c r="B1116" s="5" t="str">
        <f t="shared" si="702"/>
        <v>SPS3</v>
      </c>
      <c r="C1116" s="5" t="str">
        <f t="shared" si="725"/>
        <v>CH</v>
      </c>
      <c r="D1116" t="s">
        <v>1100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</row>
    <row r="1117" spans="2:11" x14ac:dyDescent="0.35">
      <c r="B1117" s="5" t="str">
        <f t="shared" si="702"/>
        <v>SPS3</v>
      </c>
      <c r="C1117" s="5" t="str">
        <f t="shared" si="725"/>
        <v>CH</v>
      </c>
      <c r="D1117" t="s">
        <v>1101</v>
      </c>
      <c r="E1117" t="s">
        <v>240</v>
      </c>
      <c r="F1117" s="4">
        <f>IFERROR(F1072/F1020,"-")</f>
        <v>0.7200000000000002</v>
      </c>
      <c r="G1117" s="4">
        <f t="shared" ref="G1117:K1117" si="731">IFERROR(G1072/G1020,"-")</f>
        <v>0.71999999999999986</v>
      </c>
      <c r="H1117" s="4">
        <f t="shared" si="731"/>
        <v>0.71763547781966852</v>
      </c>
      <c r="I1117" s="4">
        <f t="shared" si="731"/>
        <v>0.7231794372525332</v>
      </c>
      <c r="J1117" s="4">
        <f t="shared" si="731"/>
        <v>0.72732216737962385</v>
      </c>
      <c r="K1117" s="4">
        <f t="shared" si="731"/>
        <v>0.75334312185213692</v>
      </c>
    </row>
    <row r="1118" spans="2:11" x14ac:dyDescent="0.35">
      <c r="B1118" s="5" t="str">
        <f t="shared" si="702"/>
        <v>SPS3</v>
      </c>
      <c r="C1118" s="5" t="str">
        <f t="shared" si="725"/>
        <v>CH</v>
      </c>
      <c r="D1118" t="s">
        <v>1102</v>
      </c>
      <c r="E1118" t="s">
        <v>240</v>
      </c>
      <c r="F1118" s="4">
        <f>IFERROR(F1074/F1025,"-")</f>
        <v>0.90000000000000036</v>
      </c>
      <c r="G1118" s="4">
        <f t="shared" ref="G1118:K1118" si="732">IFERROR(G1074/G1025,"-")</f>
        <v>0.8999999999999998</v>
      </c>
      <c r="H1118" s="4">
        <f t="shared" si="732"/>
        <v>0.72488746737671883</v>
      </c>
      <c r="I1118" s="4">
        <f t="shared" si="732"/>
        <v>0.72534331639649086</v>
      </c>
      <c r="J1118" s="4">
        <f t="shared" si="732"/>
        <v>0.72546249590262479</v>
      </c>
      <c r="K1118" s="4">
        <f t="shared" si="732"/>
        <v>0.7474430317937083</v>
      </c>
    </row>
    <row r="1119" spans="2:11" x14ac:dyDescent="0.35">
      <c r="B1119" s="5" t="str">
        <f t="shared" si="702"/>
        <v>SPS3</v>
      </c>
      <c r="C1119" s="5" t="str">
        <f t="shared" si="725"/>
        <v>CH</v>
      </c>
      <c r="D1119" t="s">
        <v>1103</v>
      </c>
      <c r="E1119" t="s">
        <v>240</v>
      </c>
      <c r="F1119" s="4">
        <v>1</v>
      </c>
      <c r="G1119" s="4">
        <v>1</v>
      </c>
      <c r="H1119" s="4">
        <v>1</v>
      </c>
      <c r="I1119" s="4">
        <v>1</v>
      </c>
      <c r="J1119" s="4">
        <v>1</v>
      </c>
      <c r="K1119" s="4">
        <v>1</v>
      </c>
    </row>
    <row r="1120" spans="2:11" x14ac:dyDescent="0.35">
      <c r="B1120" s="5" t="str">
        <f t="shared" si="702"/>
        <v>SPS3</v>
      </c>
      <c r="C1120" s="5" t="str">
        <f t="shared" si="725"/>
        <v>CH</v>
      </c>
      <c r="D1120" t="s">
        <v>1104</v>
      </c>
      <c r="E1120" t="s">
        <v>240</v>
      </c>
      <c r="F1120" s="4" t="str">
        <f>IFERROR(F1078/F1037,"-")</f>
        <v>-</v>
      </c>
      <c r="G1120" s="4" t="str">
        <f t="shared" ref="G1120:K1120" si="733">IFERROR(G1078/G1037,"-")</f>
        <v>-</v>
      </c>
      <c r="H1120" s="4" t="str">
        <f t="shared" si="733"/>
        <v>-</v>
      </c>
      <c r="I1120" s="4" t="str">
        <f t="shared" si="733"/>
        <v>-</v>
      </c>
      <c r="J1120" s="4" t="str">
        <f t="shared" si="733"/>
        <v>-</v>
      </c>
      <c r="K1120" s="4" t="str">
        <f t="shared" si="733"/>
        <v>-</v>
      </c>
    </row>
    <row r="1121" spans="2:11" x14ac:dyDescent="0.35">
      <c r="B1121" s="5" t="str">
        <f t="shared" si="702"/>
        <v>SPS3</v>
      </c>
      <c r="C1121" s="5" t="str">
        <f t="shared" si="725"/>
        <v>CH</v>
      </c>
      <c r="D1121" t="s">
        <v>1124</v>
      </c>
      <c r="E1121" t="s">
        <v>240</v>
      </c>
      <c r="F1121" s="4">
        <f>IFERROR(F1082/F976,"-")</f>
        <v>0.79000000000000026</v>
      </c>
      <c r="G1121" s="4">
        <f t="shared" ref="G1121:K1122" si="734">IFERROR(G1082/G976,"-")</f>
        <v>0.79199999999999982</v>
      </c>
      <c r="H1121" s="4">
        <f t="shared" si="734"/>
        <v>0.46571718247230826</v>
      </c>
      <c r="I1121" s="4">
        <f t="shared" si="734"/>
        <v>0.48660445271321018</v>
      </c>
      <c r="J1121" s="4">
        <f t="shared" si="734"/>
        <v>0.5055095065247831</v>
      </c>
      <c r="K1121" s="4">
        <f t="shared" si="734"/>
        <v>0.52076427604177589</v>
      </c>
    </row>
    <row r="1122" spans="2:11" x14ac:dyDescent="0.35">
      <c r="B1122" s="5" t="str">
        <f t="shared" si="702"/>
        <v>SPS3</v>
      </c>
      <c r="C1122" s="5" t="str">
        <f t="shared" si="725"/>
        <v>CH</v>
      </c>
      <c r="D1122" t="s">
        <v>1125</v>
      </c>
      <c r="E1122" t="s">
        <v>240</v>
      </c>
      <c r="F1122" s="4">
        <f>IFERROR(F1083/F977,"-")</f>
        <v>2.819999999999999</v>
      </c>
      <c r="G1122" s="4">
        <f t="shared" si="734"/>
        <v>2.8259999999999978</v>
      </c>
      <c r="H1122" s="4">
        <f t="shared" si="734"/>
        <v>1.8921241423065576</v>
      </c>
      <c r="I1122" s="4">
        <f t="shared" si="734"/>
        <v>2.1509718639954021</v>
      </c>
      <c r="J1122" s="4">
        <f t="shared" si="734"/>
        <v>2.4714941733244218</v>
      </c>
      <c r="K1122" s="4">
        <f t="shared" si="734"/>
        <v>2.7902208248068354</v>
      </c>
    </row>
    <row r="1123" spans="2:11" x14ac:dyDescent="0.35">
      <c r="B1123" s="5" t="str">
        <f t="shared" si="702"/>
        <v>SPS3</v>
      </c>
      <c r="C1123" s="5" t="str">
        <f t="shared" si="725"/>
        <v>CH</v>
      </c>
      <c r="D1123" t="s">
        <v>1105</v>
      </c>
      <c r="E1123" t="s">
        <v>240</v>
      </c>
      <c r="F1123" s="4">
        <f>IFERROR(F1085/F989,"-")</f>
        <v>0.70833333333333215</v>
      </c>
      <c r="G1123" s="4">
        <f t="shared" ref="G1123:K1123" si="735">IFERROR(G1085/G989,"-")</f>
        <v>0.7145833333333339</v>
      </c>
      <c r="H1123" s="4">
        <f t="shared" si="735"/>
        <v>0.50249892358505588</v>
      </c>
      <c r="I1123" s="4">
        <f t="shared" si="735"/>
        <v>0.53983152369677734</v>
      </c>
      <c r="J1123" s="4">
        <f t="shared" si="735"/>
        <v>0.55894609782801097</v>
      </c>
      <c r="K1123" s="4">
        <f t="shared" si="735"/>
        <v>0.58982134163146027</v>
      </c>
    </row>
    <row r="1124" spans="2:11" x14ac:dyDescent="0.35">
      <c r="B1124" s="5" t="str">
        <f t="shared" si="702"/>
        <v>SPS3</v>
      </c>
      <c r="C1124" s="5" t="str">
        <f t="shared" si="725"/>
        <v>CH</v>
      </c>
      <c r="D1124" t="s">
        <v>1106</v>
      </c>
      <c r="E1124" t="s">
        <v>240</v>
      </c>
      <c r="F1124" s="4">
        <f>IFERROR(F1087/F1005,"-")</f>
        <v>0.75</v>
      </c>
      <c r="G1124" s="4">
        <f t="shared" ref="G1124:K1124" si="736">IFERROR(G1087/G1005,"-")</f>
        <v>0.75399999999999923</v>
      </c>
      <c r="H1124" s="4">
        <f t="shared" si="736"/>
        <v>0.52757657075161479</v>
      </c>
      <c r="I1124" s="4">
        <f t="shared" si="736"/>
        <v>0.55136981945301478</v>
      </c>
      <c r="J1124" s="4">
        <f t="shared" si="736"/>
        <v>0.55220590602410213</v>
      </c>
      <c r="K1124" s="4">
        <f t="shared" si="736"/>
        <v>0.58284581952918879</v>
      </c>
    </row>
    <row r="1125" spans="2:11" x14ac:dyDescent="0.35">
      <c r="B1125" s="5" t="str">
        <f t="shared" si="702"/>
        <v>SPS3</v>
      </c>
      <c r="C1125" s="5" t="str">
        <f t="shared" si="725"/>
        <v>CH</v>
      </c>
      <c r="D1125" t="s">
        <v>1107</v>
      </c>
      <c r="E1125" t="s">
        <v>240</v>
      </c>
      <c r="F1125" s="4" t="str">
        <f>IFERROR(F1088/F1006,"-")</f>
        <v>-</v>
      </c>
      <c r="G1125" s="4" t="str">
        <f t="shared" ref="G1125:K1125" si="737">IFERROR(G1088/G1006,"-")</f>
        <v>-</v>
      </c>
      <c r="H1125" s="4">
        <f t="shared" si="737"/>
        <v>2.0190981933510135</v>
      </c>
      <c r="I1125" s="4">
        <f t="shared" si="737"/>
        <v>2.3240070013261724</v>
      </c>
      <c r="J1125" s="4">
        <f t="shared" si="737"/>
        <v>2.6621973497725473</v>
      </c>
      <c r="K1125" s="4">
        <f t="shared" si="737"/>
        <v>3.2266794844542117</v>
      </c>
    </row>
    <row r="1126" spans="2:11" x14ac:dyDescent="0.35">
      <c r="B1126" s="5" t="str">
        <f t="shared" si="702"/>
        <v>SPS3</v>
      </c>
      <c r="C1126" s="5" t="str">
        <f t="shared" si="725"/>
        <v>CH</v>
      </c>
      <c r="D1126" t="s">
        <v>1108</v>
      </c>
      <c r="E1126" t="s">
        <v>240</v>
      </c>
      <c r="F1126" s="4">
        <v>0.77</v>
      </c>
      <c r="G1126" s="4">
        <f>AVERAGE(F1126,H1126)</f>
        <v>0.77500000000000002</v>
      </c>
      <c r="H1126" s="4">
        <v>0.78</v>
      </c>
      <c r="I1126" s="4">
        <v>0.79</v>
      </c>
      <c r="J1126" s="4">
        <v>0.79</v>
      </c>
      <c r="K1126" s="4">
        <v>0.79</v>
      </c>
    </row>
    <row r="1127" spans="2:11" x14ac:dyDescent="0.35">
      <c r="B1127" s="5" t="str">
        <f t="shared" si="702"/>
        <v>SPS3</v>
      </c>
      <c r="C1127" s="5" t="str">
        <f t="shared" si="725"/>
        <v>CH</v>
      </c>
      <c r="D1127" t="s">
        <v>1109</v>
      </c>
      <c r="E1127" t="s">
        <v>240</v>
      </c>
      <c r="F1127" s="4">
        <v>0.77</v>
      </c>
      <c r="G1127" s="4">
        <f>AVERAGE(F1127,H1127)</f>
        <v>0.77500000000000002</v>
      </c>
      <c r="H1127" s="4">
        <v>0.78</v>
      </c>
      <c r="I1127" s="4">
        <v>0.79</v>
      </c>
      <c r="J1127" s="4">
        <v>0.79</v>
      </c>
      <c r="K1127" s="4">
        <v>0.79</v>
      </c>
    </row>
    <row r="1128" spans="2:11" x14ac:dyDescent="0.35">
      <c r="B1128" s="5" t="str">
        <f t="shared" si="702"/>
        <v>SPS3</v>
      </c>
      <c r="C1128" s="5" t="str">
        <f t="shared" si="725"/>
        <v>CH</v>
      </c>
      <c r="D1128" t="s">
        <v>1110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</row>
    <row r="1129" spans="2:11" x14ac:dyDescent="0.35">
      <c r="B1129" s="5" t="str">
        <f t="shared" si="702"/>
        <v>SPS3</v>
      </c>
      <c r="C1129" s="5" t="str">
        <f t="shared" si="725"/>
        <v>CH</v>
      </c>
      <c r="D1129" t="s">
        <v>1111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</row>
    <row r="1130" spans="2:11" x14ac:dyDescent="0.35">
      <c r="B1130" s="5" t="str">
        <f t="shared" si="702"/>
        <v>SPS3</v>
      </c>
      <c r="C1130" s="5" t="str">
        <f t="shared" si="725"/>
        <v>CH</v>
      </c>
      <c r="D1130" t="s">
        <v>1112</v>
      </c>
      <c r="E1130" t="s">
        <v>240</v>
      </c>
      <c r="F1130" s="4">
        <f>IFERROR(F1098/F1022,"-")</f>
        <v>0.49999999999999906</v>
      </c>
      <c r="G1130" s="4">
        <f t="shared" ref="G1130:K1130" si="738">IFERROR(G1098/G1022,"-")</f>
        <v>0.50000000000000089</v>
      </c>
      <c r="H1130" s="4">
        <f t="shared" si="738"/>
        <v>0.43400396619776738</v>
      </c>
      <c r="I1130" s="4">
        <f t="shared" si="738"/>
        <v>0.44619483418011291</v>
      </c>
      <c r="J1130" s="4">
        <f t="shared" si="738"/>
        <v>0.46679823809704935</v>
      </c>
      <c r="K1130" s="4">
        <f t="shared" si="738"/>
        <v>0.49705730516194357</v>
      </c>
    </row>
    <row r="1131" spans="2:11" x14ac:dyDescent="0.35">
      <c r="B1131" s="5" t="str">
        <f t="shared" si="702"/>
        <v>SPS3</v>
      </c>
      <c r="C1131" s="5" t="str">
        <f t="shared" si="725"/>
        <v>CH</v>
      </c>
      <c r="D1131" t="s">
        <v>1113</v>
      </c>
      <c r="E1131" t="s">
        <v>240</v>
      </c>
      <c r="F1131" s="4">
        <f>IFERROR(F1100/F1027,"-")</f>
        <v>0.62499999999999933</v>
      </c>
      <c r="G1131" s="4">
        <f t="shared" ref="G1131:K1131" si="739">IFERROR(G1100/G1027,"-")</f>
        <v>0.62499999999999978</v>
      </c>
      <c r="H1131" s="4">
        <f t="shared" si="739"/>
        <v>0.44123080480955607</v>
      </c>
      <c r="I1131" s="4">
        <f t="shared" si="739"/>
        <v>0.44492208939224015</v>
      </c>
      <c r="J1131" s="4">
        <f t="shared" si="739"/>
        <v>0.46077539630502301</v>
      </c>
      <c r="K1131" s="4">
        <f t="shared" si="739"/>
        <v>0.49708835179179978</v>
      </c>
    </row>
    <row r="1132" spans="2:11" x14ac:dyDescent="0.35">
      <c r="B1132" s="5" t="str">
        <f t="shared" si="702"/>
        <v>SPS3</v>
      </c>
      <c r="C1132" s="5" t="str">
        <f t="shared" si="725"/>
        <v>CH</v>
      </c>
      <c r="D1132" t="s">
        <v>1114</v>
      </c>
      <c r="E1132" t="s">
        <v>240</v>
      </c>
      <c r="F1132" s="4">
        <v>1</v>
      </c>
      <c r="G1132" s="4">
        <v>1</v>
      </c>
      <c r="H1132" s="4">
        <v>1</v>
      </c>
      <c r="I1132" s="4">
        <v>1</v>
      </c>
      <c r="J1132" s="4">
        <v>1</v>
      </c>
      <c r="K1132" s="4">
        <v>1</v>
      </c>
    </row>
    <row r="1133" spans="2:11" x14ac:dyDescent="0.35">
      <c r="B1133" s="5" t="str">
        <f t="shared" si="702"/>
        <v>SPS3</v>
      </c>
      <c r="C1133" s="5" t="str">
        <f t="shared" si="725"/>
        <v>CH</v>
      </c>
      <c r="D1133" t="s">
        <v>1115</v>
      </c>
      <c r="E1133" t="s">
        <v>240</v>
      </c>
      <c r="F1133" s="4" t="str">
        <f>IFERROR(F1104/F1039,"-")</f>
        <v>-</v>
      </c>
      <c r="G1133" s="4" t="str">
        <f t="shared" ref="G1133:K1133" si="740">IFERROR(G1104/G1039,"-")</f>
        <v>-</v>
      </c>
      <c r="H1133" s="4" t="str">
        <f t="shared" si="740"/>
        <v>-</v>
      </c>
      <c r="I1133" s="4" t="str">
        <f t="shared" si="740"/>
        <v>-</v>
      </c>
      <c r="J1133" s="4" t="str">
        <f t="shared" si="740"/>
        <v>-</v>
      </c>
      <c r="K1133" s="4" t="str">
        <f t="shared" si="740"/>
        <v>-</v>
      </c>
    </row>
    <row r="1134" spans="2:11" x14ac:dyDescent="0.35">
      <c r="B1134" s="9" t="str">
        <f t="shared" si="702"/>
        <v>SPS3</v>
      </c>
      <c r="C1134" s="9" t="str">
        <f>C1133</f>
        <v>CH</v>
      </c>
      <c r="D1134" s="2" t="s">
        <v>1237</v>
      </c>
      <c r="E1134" s="2" t="s">
        <v>8</v>
      </c>
      <c r="F1134" s="3">
        <f t="shared" ref="F1134:K1134" si="741">F1135+F1150+F1155+F1178+F1201</f>
        <v>139.98486465253256</v>
      </c>
      <c r="G1134" s="3">
        <f t="shared" si="741"/>
        <v>137.21817728464151</v>
      </c>
      <c r="H1134" s="3">
        <f t="shared" si="741"/>
        <v>122.79719750442483</v>
      </c>
      <c r="I1134" s="3">
        <f t="shared" si="741"/>
        <v>103.7845346684704</v>
      </c>
      <c r="J1134" s="3">
        <f t="shared" si="741"/>
        <v>54.272240424719065</v>
      </c>
      <c r="K1134" s="3">
        <f t="shared" si="741"/>
        <v>39.850896358921304</v>
      </c>
    </row>
    <row r="1135" spans="2:11" x14ac:dyDescent="0.35">
      <c r="B1135" s="5" t="str">
        <f t="shared" si="702"/>
        <v>SPS3</v>
      </c>
      <c r="C1135" s="5" t="str">
        <f>C1134</f>
        <v>CH</v>
      </c>
      <c r="D1135" t="s">
        <v>1238</v>
      </c>
      <c r="E1135" t="s">
        <v>8</v>
      </c>
      <c r="F1135" s="1">
        <f>SUM(F1136:F1149)</f>
        <v>0.74107640542494468</v>
      </c>
      <c r="G1135" s="1">
        <f t="shared" ref="G1135:K1135" si="742">SUM(G1136:G1149)</f>
        <v>1.4465168510479458</v>
      </c>
      <c r="H1135" s="1">
        <f t="shared" si="742"/>
        <v>4.3776803322011135</v>
      </c>
      <c r="I1135" s="1">
        <f t="shared" si="742"/>
        <v>8.9462400726110385</v>
      </c>
      <c r="J1135" s="1">
        <f t="shared" si="742"/>
        <v>34.563418086519491</v>
      </c>
      <c r="K1135" s="1">
        <f t="shared" si="742"/>
        <v>39.038502085175615</v>
      </c>
    </row>
    <row r="1136" spans="2:11" x14ac:dyDescent="0.35">
      <c r="B1136" s="5" t="str">
        <f t="shared" si="702"/>
        <v>SPS3</v>
      </c>
      <c r="C1136" s="5" t="str">
        <f t="shared" ref="C1136:C1215" si="743">C1135</f>
        <v>CH</v>
      </c>
      <c r="D1136" t="s">
        <v>1239</v>
      </c>
      <c r="E1136" t="s">
        <v>8</v>
      </c>
      <c r="F1136" s="1" cm="1">
        <f t="array" ref="F1136">SUMPRODUCT(("T_C-BATELCEXT"=[1]OUT_TransportEnergyCons!$A$3:$A$1000)*1,("Var_Fin"=[1]OUT_TransportEnergyCons!$B$3:$B$1000)*1,ISNUMBER(SEARCH("ELC",[1]OUT_TransportEnergyCons!$C$3:$C$1000))*1,[1]OUT_TransportEnergyCons!D$3:D$1000)</f>
        <v>0.46788399642036477</v>
      </c>
      <c r="G1136" s="1" cm="1">
        <f t="array" ref="G1136">SUMPRODUCT(("T_C-BATELCEXT"=[1]OUT_TransportEnergyCons!$A$3:$A$1000)*1,("Var_Fin"=[1]OUT_TransportEnergyCons!$B$3:$B$1000)*1,ISNUMBER(SEARCH("ELC",[1]OUT_TransportEnergyCons!$C$3:$C$1000))*1,[1]OUT_TransportEnergyCons!E$3:E$1000)</f>
        <v>0.1833146964672844</v>
      </c>
      <c r="H1136" s="1" cm="1">
        <f t="array" ref="H1136">SUMPRODUCT(("T_C-BATELCEXT"=[1]OUT_TransportEnergyCons!$A$3:$A$1000)*1,("Var_Fin"=[1]OUT_TransportEnergyCons!$B$3:$B$1000)*1,ISNUMBER(SEARCH("ELC",[1]OUT_TransportEnergyCons!$C$3:$C$1000))*1,[1]OUT_TransportEnergyCons!F$3:F$1000)</f>
        <v>0.262227921647184</v>
      </c>
      <c r="I1136" s="1" cm="1">
        <f t="array" ref="I1136">SUMPRODUCT(("T_C-BATELCEXT"=[1]OUT_TransportEnergyCons!$A$3:$A$1000)*1,("Var_Fin"=[1]OUT_TransportEnergyCons!$B$3:$B$1000)*1,ISNUMBER(SEARCH("ELC",[1]OUT_TransportEnergyCons!$C$3:$C$1000))*1,[1]OUT_TransportEnergyCons!G$3:G$1000)</f>
        <v>0.1130950718345331</v>
      </c>
      <c r="J1136" s="1" cm="1">
        <f t="array" ref="J1136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6" s="1" cm="1">
        <f t="array" ref="K1136">SUMPRODUCT(("T_C-BATELCEXT"=[1]OUT_TransportEnergyCons!$A$3:$A$1000)*1,("Var_Fin"=[1]OUT_TransportEnergyCons!$B$3:$B$1000)*1,ISNUMBER(SEARCH("ELC",[1]OUT_TransportEnergyCons!$C$3:$C$1000))*1,[1]OUT_TransportEnergyCons!I$3:I$1000)</f>
        <v>0</v>
      </c>
    </row>
    <row r="1137" spans="2:11" x14ac:dyDescent="0.35">
      <c r="B1137" s="5" t="str">
        <f t="shared" si="702"/>
        <v>SPS3</v>
      </c>
      <c r="C1137" s="5" t="str">
        <f t="shared" si="743"/>
        <v>CH</v>
      </c>
      <c r="D1137" t="s">
        <v>1240</v>
      </c>
      <c r="E1137" t="s">
        <v>8</v>
      </c>
      <c r="F1137" s="1" cm="1">
        <f t="array" ref="F1137">SUMPRODUCT(("T_C-BAT-ELC-S1"=[1]OUT_TransportEnergyCons!$A$3:$A$1000)*1,("Var_Fin"=[1]OUT_TransportEnergyCons!$B$3:$B$1000)*1,ISNUMBER(SEARCH("ELC",[1]OUT_TransportEnergyCons!$C$3:$C$1000))*1,[1]OUT_TransportEnergyCons!D$3:D$1000)</f>
        <v>8.1521987325013489E-3</v>
      </c>
      <c r="G1137" s="1" cm="1">
        <f t="array" ref="G1137">SUMPRODUCT(("T_C-BAT-ELC-S1"=[1]OUT_TransportEnergyCons!$A$3:$A$1000)*1,("Var_Fin"=[1]OUT_TransportEnergyCons!$B$3:$B$1000)*1,ISNUMBER(SEARCH("ELC",[1]OUT_TransportEnergyCons!$C$3:$C$1000))*1,[1]OUT_TransportEnergyCons!E$3:E$1000)</f>
        <v>2.1132890270127117E-2</v>
      </c>
      <c r="H1137" s="1" cm="1">
        <f t="array" ref="H1137">SUMPRODUCT(("T_C-BAT-ELC-S1"=[1]OUT_TransportEnergyCons!$A$3:$A$1000)*1,("Var_Fin"=[1]OUT_TransportEnergyCons!$B$3:$B$1000)*1,ISNUMBER(SEARCH("ELC",[1]OUT_TransportEnergyCons!$C$3:$C$1000))*1,[1]OUT_TransportEnergyCons!F$3:F$1000)</f>
        <v>2.6006918586043447E-2</v>
      </c>
      <c r="I1137" s="1" cm="1">
        <f t="array" ref="I1137">SUMPRODUCT(("T_C-BAT-ELC-S1"=[1]OUT_TransportEnergyCons!$A$3:$A$1000)*1,("Var_Fin"=[1]OUT_TransportEnergyCons!$B$3:$B$1000)*1,ISNUMBER(SEARCH("ELC",[1]OUT_TransportEnergyCons!$C$3:$C$1000))*1,[1]OUT_TransportEnergyCons!G$3:G$1000)</f>
        <v>2.2800330162782611E-2</v>
      </c>
      <c r="J1137" s="1" cm="1">
        <f t="array" ref="J1137">SUMPRODUCT(("T_C-BAT-ELC-S1"=[1]OUT_TransportEnergyCons!$A$3:$A$1000)*1,("Var_Fin"=[1]OUT_TransportEnergyCons!$B$3:$B$1000)*1,ISNUMBER(SEARCH("ELC",[1]OUT_TransportEnergyCons!$C$3:$C$1000))*1,[1]OUT_TransportEnergyCons!H$3:H$1000)</f>
        <v>3.5589980672495972E-3</v>
      </c>
      <c r="K1137" s="1" cm="1">
        <f t="array" ref="K1137">SUMPRODUCT(("T_C-BAT-ELC-S1"=[1]OUT_TransportEnergyCons!$A$3:$A$1000)*1,("Var_Fin"=[1]OUT_TransportEnergyCons!$B$3:$B$1000)*1,ISNUMBER(SEARCH("ELC",[1]OUT_TransportEnergyCons!$C$3:$C$1000))*1,[1]OUT_TransportEnergyCons!I$3:I$1000)</f>
        <v>1.1111203013090361</v>
      </c>
    </row>
    <row r="1138" spans="2:11" x14ac:dyDescent="0.35">
      <c r="B1138" s="5" t="str">
        <f t="shared" si="702"/>
        <v>SPS3</v>
      </c>
      <c r="C1138" s="5" t="str">
        <f t="shared" si="743"/>
        <v>CH</v>
      </c>
      <c r="D1138" t="s">
        <v>1241</v>
      </c>
      <c r="E1138" t="s">
        <v>8</v>
      </c>
      <c r="F1138" s="1" cm="1">
        <f t="array" ref="F1138">SUMPRODUCT(("T_C-BAT-ELC-S2"=[1]OUT_TransportEnergyCons!$A$3:$A$1000)*1,("Var_Fin"=[1]OUT_TransportEnergyCons!$B$3:$B$1000)*1,ISNUMBER(SEARCH("ELC",[1]OUT_TransportEnergyCons!$C$3:$C$1000))*1,[1]OUT_TransportEnergyCons!D$3:D$1000)</f>
        <v>6.6200036023657122E-2</v>
      </c>
      <c r="G1138" s="1" cm="1">
        <f t="array" ref="G1138">SUMPRODUCT(("T_C-BAT-ELC-S2"=[1]OUT_TransportEnergyCons!$A$3:$A$1000)*1,("Var_Fin"=[1]OUT_TransportEnergyCons!$B$3:$B$1000)*1,ISNUMBER(SEARCH("ELC",[1]OUT_TransportEnergyCons!$C$3:$C$1000))*1,[1]OUT_TransportEnergyCons!E$3:E$1000)</f>
        <v>0.10451456280264873</v>
      </c>
      <c r="H1138" s="1" cm="1">
        <f t="array" ref="H1138">SUMPRODUCT(("T_C-BAT-ELC-S2"=[1]OUT_TransportEnergyCons!$A$3:$A$1000)*1,("Var_Fin"=[1]OUT_TransportEnergyCons!$B$3:$B$1000)*1,ISNUMBER(SEARCH("ELC",[1]OUT_TransportEnergyCons!$C$3:$C$1000))*1,[1]OUT_TransportEnergyCons!F$3:F$1000)</f>
        <v>0.12915995802399141</v>
      </c>
      <c r="I1138" s="1" cm="1">
        <f t="array" ref="I1138">SUMPRODUCT(("T_C-BAT-ELC-S2"=[1]OUT_TransportEnergyCons!$A$3:$A$1000)*1,("Var_Fin"=[1]OUT_TransportEnergyCons!$B$3:$B$1000)*1,ISNUMBER(SEARCH("ELC",[1]OUT_TransportEnergyCons!$C$3:$C$1000))*1,[1]OUT_TransportEnergyCons!G$3:G$1000)</f>
        <v>0.12134777299725727</v>
      </c>
      <c r="J1138" s="1" cm="1">
        <f t="array" ref="J1138">SUMPRODUCT(("T_C-BAT-ELC-S2"=[1]OUT_TransportEnergyCons!$A$3:$A$1000)*1,("Var_Fin"=[1]OUT_TransportEnergyCons!$B$3:$B$1000)*1,ISNUMBER(SEARCH("ELC",[1]OUT_TransportEnergyCons!$C$3:$C$1000))*1,[1]OUT_TransportEnergyCons!H$3:H$1000)</f>
        <v>9.4174606599519564</v>
      </c>
      <c r="K1138" s="1" cm="1">
        <f t="array" ref="K1138">SUMPRODUCT(("T_C-BAT-ELC-S2"=[1]OUT_TransportEnergyCons!$A$3:$A$1000)*1,("Var_Fin"=[1]OUT_TransportEnergyCons!$B$3:$B$1000)*1,ISNUMBER(SEARCH("ELC",[1]OUT_TransportEnergyCons!$C$3:$C$1000))*1,[1]OUT_TransportEnergyCons!I$3:I$1000)</f>
        <v>10.469589946990725</v>
      </c>
    </row>
    <row r="1139" spans="2:11" x14ac:dyDescent="0.35">
      <c r="B1139" s="5" t="str">
        <f t="shared" si="702"/>
        <v>SPS3</v>
      </c>
      <c r="C1139" s="5" t="str">
        <f t="shared" si="743"/>
        <v>CH</v>
      </c>
      <c r="D1139" t="s">
        <v>1242</v>
      </c>
      <c r="E1139" t="s">
        <v>8</v>
      </c>
      <c r="F1139" s="1" cm="1">
        <f t="array" ref="F1139">SUMPRODUCT(("T_C-BAT-ELC-S3"=[1]OUT_TransportEnergyCons!$A$3:$A$1000)*1,("Var_Fin"=[1]OUT_TransportEnergyCons!$B$3:$B$1000)*1,ISNUMBER(SEARCH("ELC",[1]OUT_TransportEnergyCons!$C$3:$C$1000))*1,[1]OUT_TransportEnergyCons!D$3:D$1000)</f>
        <v>4.5433573303671343E-2</v>
      </c>
      <c r="G1139" s="1" cm="1">
        <f t="array" ref="G1139">SUMPRODUCT(("T_C-BAT-ELC-S3"=[1]OUT_TransportEnergyCons!$A$3:$A$1000)*1,("Var_Fin"=[1]OUT_TransportEnergyCons!$B$3:$B$1000)*1,ISNUMBER(SEARCH("ELC",[1]OUT_TransportEnergyCons!$C$3:$C$1000))*1,[1]OUT_TransportEnergyCons!E$3:E$1000)</f>
        <v>9.5504394136303725E-2</v>
      </c>
      <c r="H1139" s="1" cm="1">
        <f t="array" ref="H1139">SUMPRODUCT(("T_C-BAT-ELC-S3"=[1]OUT_TransportEnergyCons!$A$3:$A$1000)*1,("Var_Fin"=[1]OUT_TransportEnergyCons!$B$3:$B$1000)*1,ISNUMBER(SEARCH("ELC",[1]OUT_TransportEnergyCons!$C$3:$C$1000))*1,[1]OUT_TransportEnergyCons!F$3:F$1000)</f>
        <v>0.11741897291306777</v>
      </c>
      <c r="I1139" s="1" cm="1">
        <f t="array" ref="I1139">SUMPRODUCT(("T_C-BAT-ELC-S3"=[1]OUT_TransportEnergyCons!$A$3:$A$1000)*1,("Var_Fin"=[1]OUT_TransportEnergyCons!$B$3:$B$1000)*1,ISNUMBER(SEARCH("ELC",[1]OUT_TransportEnergyCons!$C$3:$C$1000))*1,[1]OUT_TransportEnergyCons!G$3:G$1000)</f>
        <v>3.8326282901188087</v>
      </c>
      <c r="J1139" s="1" cm="1">
        <f t="array" ref="J1139">SUMPRODUCT(("T_C-BAT-ELC-S3"=[1]OUT_TransportEnergyCons!$A$3:$A$1000)*1,("Var_Fin"=[1]OUT_TransportEnergyCons!$B$3:$B$1000)*1,ISNUMBER(SEARCH("ELC",[1]OUT_TransportEnergyCons!$C$3:$C$1000))*1,[1]OUT_TransportEnergyCons!H$3:H$1000)</f>
        <v>7.5616396905095318</v>
      </c>
      <c r="K1139" s="1" cm="1">
        <f t="array" ref="K1139">SUMPRODUCT(("T_C-BAT-ELC-S3"=[1]OUT_TransportEnergyCons!$A$3:$A$1000)*1,("Var_Fin"=[1]OUT_TransportEnergyCons!$B$3:$B$1000)*1,ISNUMBER(SEARCH("ELC",[1]OUT_TransportEnergyCons!$C$3:$C$1000))*1,[1]OUT_TransportEnergyCons!I$3:I$1000)</f>
        <v>9.6073817386932081</v>
      </c>
    </row>
    <row r="1140" spans="2:11" x14ac:dyDescent="0.35">
      <c r="B1140" s="5" t="str">
        <f t="shared" ref="B1140:B1203" si="744">B1139</f>
        <v>SPS3</v>
      </c>
      <c r="C1140" s="5" t="str">
        <f t="shared" si="743"/>
        <v>CH</v>
      </c>
      <c r="D1140" t="s">
        <v>1243</v>
      </c>
      <c r="E1140" t="s">
        <v>8</v>
      </c>
      <c r="F1140" s="1" cm="1">
        <f t="array" ref="F1140">SUMPRODUCT(("T_C-BAT-ELC-S4"=[1]OUT_TransportEnergyCons!$A$3:$A$1000)*1,("Var_Fin"=[1]OUT_TransportEnergyCons!$B$3:$B$1000)*1,ISNUMBER(SEARCH("ELC",[1]OUT_TransportEnergyCons!$C$3:$C$1000))*1,[1]OUT_TransportEnergyCons!D$3:D$1000)</f>
        <v>0.14994564460256216</v>
      </c>
      <c r="G1140" s="1" cm="1">
        <f t="array" ref="G1140">SUMPRODUCT(("T_C-BAT-ELC-S4"=[1]OUT_TransportEnergyCons!$A$3:$A$1000)*1,("Var_Fin"=[1]OUT_TransportEnergyCons!$B$3:$B$1000)*1,ISNUMBER(SEARCH("ELC",[1]OUT_TransportEnergyCons!$C$3:$C$1000))*1,[1]OUT_TransportEnergyCons!E$3:E$1000)</f>
        <v>1.0395632707778568</v>
      </c>
      <c r="H1140" s="1" cm="1">
        <f t="array" ref="H1140">SUMPRODUCT(("T_C-BAT-ELC-S4"=[1]OUT_TransportEnergyCons!$A$3:$A$1000)*1,("Var_Fin"=[1]OUT_TransportEnergyCons!$B$3:$B$1000)*1,ISNUMBER(SEARCH("ELC",[1]OUT_TransportEnergyCons!$C$3:$C$1000))*1,[1]OUT_TransportEnergyCons!F$3:F$1000)</f>
        <v>3.5378573545327892</v>
      </c>
      <c r="I1140" s="1" cm="1">
        <f t="array" ref="I1140">SUMPRODUCT(("T_C-BAT-ELC-S4"=[1]OUT_TransportEnergyCons!$A$3:$A$1000)*1,("Var_Fin"=[1]OUT_TransportEnergyCons!$B$3:$B$1000)*1,ISNUMBER(SEARCH("ELC",[1]OUT_TransportEnergyCons!$C$3:$C$1000))*1,[1]OUT_TransportEnergyCons!G$3:G$1000)</f>
        <v>3.8174797124881819</v>
      </c>
      <c r="J1140" s="1" cm="1">
        <f t="array" ref="J1140">SUMPRODUCT(("T_C-BAT-ELC-S4"=[1]OUT_TransportEnergyCons!$A$3:$A$1000)*1,("Var_Fin"=[1]OUT_TransportEnergyCons!$B$3:$B$1000)*1,ISNUMBER(SEARCH("ELC",[1]OUT_TransportEnergyCons!$C$3:$C$1000))*1,[1]OUT_TransportEnergyCons!H$3:H$1000)</f>
        <v>14.606582750682453</v>
      </c>
      <c r="K1140" s="1" cm="1">
        <f t="array" ref="K1140">SUMPRODUCT(("T_C-BAT-ELC-S4"=[1]OUT_TransportEnergyCons!$A$3:$A$1000)*1,("Var_Fin"=[1]OUT_TransportEnergyCons!$B$3:$B$1000)*1,ISNUMBER(SEARCH("ELC",[1]OUT_TransportEnergyCons!$C$3:$C$1000))*1,[1]OUT_TransportEnergyCons!I$3:I$1000)</f>
        <v>15.461420117211118</v>
      </c>
    </row>
    <row r="1141" spans="2:11" x14ac:dyDescent="0.35">
      <c r="B1141" s="5" t="str">
        <f t="shared" si="744"/>
        <v>SPS3</v>
      </c>
      <c r="C1141" s="5" t="str">
        <f t="shared" si="743"/>
        <v>CH</v>
      </c>
      <c r="D1141" t="s">
        <v>1244</v>
      </c>
      <c r="E1141" t="s">
        <v>8</v>
      </c>
      <c r="F1141" s="1" cm="1">
        <f t="array" ref="F1141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1" s="1" cm="1">
        <f t="array" ref="G1141">SUMPRODUCT(("T-Plg-elc-gsl_S1"=[1]OUT_TransportEnergyCons!$A$3:$A$1000)*1,("Var_Fin"=[1]OUT_TransportEnergyCons!$B$3:$B$1000)*1,ISNUMBER(SEARCH("ELC",[1]OUT_TransportEnergyCons!$C$3:$C$1000))*1,[1]OUT_TransportEnergyCons!E$3:E$1000)</f>
        <v>6.4439552721349657E-5</v>
      </c>
      <c r="H1141" s="1" cm="1">
        <f t="array" ref="H1141">SUMPRODUCT(("T-Plg-elc-gsl_S1"=[1]OUT_TransportEnergyCons!$A$3:$A$1000)*1,("Var_Fin"=[1]OUT_TransportEnergyCons!$B$3:$B$1000)*1,ISNUMBER(SEARCH("ELC",[1]OUT_TransportEnergyCons!$C$3:$C$1000))*1,[1]OUT_TransportEnergyCons!F$3:F$1000)</f>
        <v>1.4792179966703164E-4</v>
      </c>
      <c r="I1141" s="1" cm="1">
        <f t="array" ref="I1141">SUMPRODUCT(("T-Plg-elc-gsl_S1"=[1]OUT_TransportEnergyCons!$A$3:$A$1000)*1,("Var_Fin"=[1]OUT_TransportEnergyCons!$B$3:$B$1000)*1,ISNUMBER(SEARCH("ELC",[1]OUT_TransportEnergyCons!$C$3:$C$1000))*1,[1]OUT_TransportEnergyCons!G$3:G$1000)</f>
        <v>2.6108299223244079E-4</v>
      </c>
      <c r="J1141" s="1" cm="1">
        <f t="array" ref="J1141">SUMPRODUCT(("T-Plg-elc-gsl_S1"=[1]OUT_TransportEnergyCons!$A$3:$A$1000)*1,("Var_Fin"=[1]OUT_TransportEnergyCons!$B$3:$B$1000)*1,ISNUMBER(SEARCH("ELC",[1]OUT_TransportEnergyCons!$C$3:$C$1000))*1,[1]OUT_TransportEnergyCons!H$3:H$1000)</f>
        <v>3.0143145510017375E-4</v>
      </c>
      <c r="K1141" s="1" cm="1">
        <f t="array" ref="K1141">SUMPRODUCT(("T-Plg-elc-gsl_S1"=[1]OUT_TransportEnergyCons!$A$3:$A$1000)*1,("Var_Fin"=[1]OUT_TransportEnergyCons!$B$3:$B$1000)*1,ISNUMBER(SEARCH("ELC",[1]OUT_TransportEnergyCons!$C$3:$C$1000))*1,[1]OUT_TransportEnergyCons!I$3:I$1000)</f>
        <v>1.5958483324419204E-4</v>
      </c>
    </row>
    <row r="1142" spans="2:11" x14ac:dyDescent="0.35">
      <c r="B1142" s="5" t="str">
        <f t="shared" si="744"/>
        <v>SPS3</v>
      </c>
      <c r="C1142" s="5" t="str">
        <f t="shared" si="743"/>
        <v>CH</v>
      </c>
      <c r="D1142" t="s">
        <v>1245</v>
      </c>
      <c r="E1142" t="s">
        <v>8</v>
      </c>
      <c r="F1142" s="1" cm="1">
        <f t="array" ref="F1142">SUMPRODUCT(("T-Plg-elc-gsl_S2"=[1]OUT_TransportEnergyCons!$A$3:$A$1000)*1,("Var_Fin"=[1]OUT_TransportEnergyCons!$B$3:$B$1000)*1,ISNUMBER(SEARCH("ELC",[1]OUT_TransportEnergyCons!$C$3:$C$1000))*1,[1]OUT_TransportEnergyCons!D$3:D$1000)</f>
        <v>3.4590802445502579E-3</v>
      </c>
      <c r="G1142" s="1" cm="1">
        <f t="array" ref="G1142">SUMPRODUCT(("T-Plg-elc-gsl_S2"=[1]OUT_TransportEnergyCons!$A$3:$A$1000)*1,("Var_Fin"=[1]OUT_TransportEnergyCons!$B$3:$B$1000)*1,ISNUMBER(SEARCH("ELC",[1]OUT_TransportEnergyCons!$C$3:$C$1000))*1,[1]OUT_TransportEnergyCons!E$3:E$1000)</f>
        <v>8.3442704703003481E-4</v>
      </c>
      <c r="H1142" s="1" cm="1">
        <f t="array" ref="H1142">SUMPRODUCT(("T-Plg-elc-gsl_S2"=[1]OUT_TransportEnergyCons!$A$3:$A$1000)*1,("Var_Fin"=[1]OUT_TransportEnergyCons!$B$3:$B$1000)*1,ISNUMBER(SEARCH("ELC",[1]OUT_TransportEnergyCons!$C$3:$C$1000))*1,[1]OUT_TransportEnergyCons!F$3:F$1000)</f>
        <v>3.4349615154737664E-3</v>
      </c>
      <c r="I1142" s="1" cm="1">
        <f t="array" ref="I1142">SUMPRODUCT(("T-Plg-elc-gsl_S2"=[1]OUT_TransportEnergyCons!$A$3:$A$1000)*1,("Var_Fin"=[1]OUT_TransportEnergyCons!$B$3:$B$1000)*1,ISNUMBER(SEARCH("ELC",[1]OUT_TransportEnergyCons!$C$3:$C$1000))*1,[1]OUT_TransportEnergyCons!G$3:G$1000)</f>
        <v>1.1181481205192922E-2</v>
      </c>
      <c r="J1142" s="1" cm="1">
        <f t="array" ref="J1142">SUMPRODUCT(("T-Plg-elc-gsl_S2"=[1]OUT_TransportEnergyCons!$A$3:$A$1000)*1,("Var_Fin"=[1]OUT_TransportEnergyCons!$B$3:$B$1000)*1,ISNUMBER(SEARCH("ELC",[1]OUT_TransportEnergyCons!$C$3:$C$1000))*1,[1]OUT_TransportEnergyCons!H$3:H$1000)</f>
        <v>1.1321083112964517E-3</v>
      </c>
      <c r="K1142" s="1" cm="1">
        <f t="array" ref="K1142">SUMPRODUCT(("T-Plg-elc-gsl_S2"=[1]OUT_TransportEnergyCons!$A$3:$A$1000)*1,("Var_Fin"=[1]OUT_TransportEnergyCons!$B$3:$B$1000)*1,ISNUMBER(SEARCH("ELC",[1]OUT_TransportEnergyCons!$C$3:$C$1000))*1,[1]OUT_TransportEnergyCons!I$3:I$1000)</f>
        <v>4.0852289683364779E-4</v>
      </c>
    </row>
    <row r="1143" spans="2:11" x14ac:dyDescent="0.35">
      <c r="B1143" s="5" t="str">
        <f t="shared" si="744"/>
        <v>SPS3</v>
      </c>
      <c r="C1143" s="5" t="str">
        <f t="shared" si="743"/>
        <v>CH</v>
      </c>
      <c r="D1143" t="s">
        <v>1246</v>
      </c>
      <c r="E1143" t="s">
        <v>8</v>
      </c>
      <c r="F1143" s="1" cm="1">
        <f t="array" ref="F1143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SUMPRODUCT(("T-Plg-elc-gsl_S3"=[1]OUT_TransportEnergyCons!$A$3:$A$1000)*1,("Var_Fin"=[1]OUT_TransportEnergyCons!$B$3:$B$1000)*1,ISNUMBER(SEARCH("ELC",[1]OUT_TransportEnergyCons!$C$3:$C$1000))*1,[1]OUT_TransportEnergyCons!E$3:E$1000)</f>
        <v>3.0514176788296385E-4</v>
      </c>
      <c r="H1143" s="1" cm="1">
        <f t="array" ref="H1143">SUMPRODUCT(("T-Plg-elc-gsl_S3"=[1]OUT_TransportEnergyCons!$A$3:$A$1000)*1,("Var_Fin"=[1]OUT_TransportEnergyCons!$B$3:$B$1000)*1,ISNUMBER(SEARCH("ELC",[1]OUT_TransportEnergyCons!$C$3:$C$1000))*1,[1]OUT_TransportEnergyCons!F$3:F$1000)</f>
        <v>0.16255307562549021</v>
      </c>
      <c r="I1143" s="1" cm="1">
        <f t="array" ref="I1143">SUMPRODUCT(("T-Plg-elc-gsl_S3"=[1]OUT_TransportEnergyCons!$A$3:$A$1000)*1,("Var_Fin"=[1]OUT_TransportEnergyCons!$B$3:$B$1000)*1,ISNUMBER(SEARCH("ELC",[1]OUT_TransportEnergyCons!$C$3:$C$1000))*1,[1]OUT_TransportEnergyCons!G$3:G$1000)</f>
        <v>0.21251837006004656</v>
      </c>
      <c r="J1143" s="1" cm="1">
        <f t="array" ref="J1143">SUMPRODUCT(("T-Plg-elc-gsl_S3"=[1]OUT_TransportEnergyCons!$A$3:$A$1000)*1,("Var_Fin"=[1]OUT_TransportEnergyCons!$B$3:$B$1000)*1,ISNUMBER(SEARCH("ELC",[1]OUT_TransportEnergyCons!$C$3:$C$1000))*1,[1]OUT_TransportEnergyCons!H$3:H$1000)</f>
        <v>1.1439502933797607</v>
      </c>
      <c r="K1143" s="1" cm="1">
        <f t="array" ref="K1143">SUMPRODUCT(("T-Plg-elc-gsl_S3"=[1]OUT_TransportEnergyCons!$A$3:$A$1000)*1,("Var_Fin"=[1]OUT_TransportEnergyCons!$B$3:$B$1000)*1,ISNUMBER(SEARCH("ELC",[1]OUT_TransportEnergyCons!$C$3:$C$1000))*1,[1]OUT_TransportEnergyCons!I$3:I$1000)</f>
        <v>0.37638386913912891</v>
      </c>
    </row>
    <row r="1144" spans="2:11" x14ac:dyDescent="0.35">
      <c r="B1144" s="5" t="str">
        <f t="shared" si="744"/>
        <v>SPS3</v>
      </c>
      <c r="C1144" s="5" t="str">
        <f t="shared" si="743"/>
        <v>CH</v>
      </c>
      <c r="D1144" t="s">
        <v>1247</v>
      </c>
      <c r="E1144" t="s">
        <v>8</v>
      </c>
      <c r="F1144" s="1" cm="1">
        <f t="array" ref="F1144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4" s="1" cm="1">
        <f t="array" ref="G1144">SUMPRODUCT(("T-Plg-elc-gsl_S4"=[1]OUT_TransportEnergyCons!$A$3:$A$1000)*1,("Var_Fin"=[1]OUT_TransportEnergyCons!$B$3:$B$1000)*1,ISNUMBER(SEARCH("ELC",[1]OUT_TransportEnergyCons!$C$3:$C$1000))*1,[1]OUT_TransportEnergyCons!E$3:E$1000)</f>
        <v>2.9787576049020376E-4</v>
      </c>
      <c r="H1144" s="1" cm="1">
        <f t="array" ref="H1144">SUMPRODUCT(("T-Plg-elc-gsl_S4"=[1]OUT_TransportEnergyCons!$A$3:$A$1000)*1,("Var_Fin"=[1]OUT_TransportEnergyCons!$B$3:$B$1000)*1,ISNUMBER(SEARCH("ELC",[1]OUT_TransportEnergyCons!$C$3:$C$1000))*1,[1]OUT_TransportEnergyCons!F$3:F$1000)</f>
        <v>4.0723522196775925E-3</v>
      </c>
      <c r="I1144" s="1" cm="1">
        <f t="array" ref="I1144">SUMPRODUCT(("T-Plg-elc-gsl_S4"=[1]OUT_TransportEnergyCons!$A$3:$A$1000)*1,("Var_Fin"=[1]OUT_TransportEnergyCons!$B$3:$B$1000)*1,ISNUMBER(SEARCH("ELC",[1]OUT_TransportEnergyCons!$C$3:$C$1000))*1,[1]OUT_TransportEnergyCons!G$3:G$1000)</f>
        <v>2.7322816482938113E-2</v>
      </c>
      <c r="J1144" s="1" cm="1">
        <f t="array" ref="J1144">SUMPRODUCT(("T-Plg-elc-gsl_S4"=[1]OUT_TransportEnergyCons!$A$3:$A$1000)*1,("Var_Fin"=[1]OUT_TransportEnergyCons!$B$3:$B$1000)*1,ISNUMBER(SEARCH("ELC",[1]OUT_TransportEnergyCons!$C$3:$C$1000))*1,[1]OUT_TransportEnergyCons!H$3:H$1000)</f>
        <v>2.2031034269546479E-3</v>
      </c>
      <c r="K1144" s="1" cm="1">
        <f t="array" ref="K1144">SUMPRODUCT(("T-Plg-elc-gsl_S4"=[1]OUT_TransportEnergyCons!$A$3:$A$1000)*1,("Var_Fin"=[1]OUT_TransportEnergyCons!$B$3:$B$1000)*1,ISNUMBER(SEARCH("ELC",[1]OUT_TransportEnergyCons!$C$3:$C$1000))*1,[1]OUT_TransportEnergyCons!I$3:I$1000)</f>
        <v>7.4683722831413136E-4</v>
      </c>
    </row>
    <row r="1145" spans="2:11" x14ac:dyDescent="0.35">
      <c r="B1145" s="5" t="str">
        <f t="shared" si="744"/>
        <v>SPS3</v>
      </c>
      <c r="C1145" s="5" t="str">
        <f t="shared" ref="C1145:C1149" si="745">C1144</f>
        <v>CH</v>
      </c>
      <c r="D1145" t="s">
        <v>1248</v>
      </c>
      <c r="E1145" t="s">
        <v>8</v>
      </c>
      <c r="F1145" s="1" cm="1">
        <f t="array" ref="F1145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SUMPRODUCT(("T-Plg-elc-dsl_S1"=[1]OUT_TransportEnergyCons!$A$3:$A$1000)*1,("Var_Fin"=[1]OUT_TransportEnergyCons!$B$3:$B$1000)*1,ISNUMBER(SEARCH("ELC",[1]OUT_TransportEnergyCons!$C$3:$C$1000))*1,[1]OUT_TransportEnergyCons!E$3:E$1000)</f>
        <v>5.4339524355296016E-5</v>
      </c>
      <c r="H1145" s="1" cm="1">
        <f t="array" ref="H1145">SUMPRODUCT(("T-Plg-elc-dsl_S1"=[1]OUT_TransportEnergyCons!$A$3:$A$1000)*1,("Var_Fin"=[1]OUT_TransportEnergyCons!$B$3:$B$1000)*1,ISNUMBER(SEARCH("ELC",[1]OUT_TransportEnergyCons!$C$3:$C$1000))*1,[1]OUT_TransportEnergyCons!F$3:F$1000)</f>
        <v>1.3546714397069207E-4</v>
      </c>
      <c r="I1145" s="1" cm="1">
        <f t="array" ref="I1145">SUMPRODUCT(("T-Plg-elc-dsl_S1"=[1]OUT_TransportEnergyCons!$A$3:$A$1000)*1,("Var_Fin"=[1]OUT_TransportEnergyCons!$B$3:$B$1000)*1,ISNUMBER(SEARCH("ELC",[1]OUT_TransportEnergyCons!$C$3:$C$1000))*1,[1]OUT_TransportEnergyCons!G$3:G$1000)</f>
        <v>2.508516689566343E-4</v>
      </c>
      <c r="J1145" s="1" cm="1">
        <f t="array" ref="J1145">SUMPRODUCT(("T-Plg-elc-dsl_S1"=[1]OUT_TransportEnergyCons!$A$3:$A$1000)*1,("Var_Fin"=[1]OUT_TransportEnergyCons!$B$3:$B$1000)*1,ISNUMBER(SEARCH("ELC",[1]OUT_TransportEnergyCons!$C$3:$C$1000))*1,[1]OUT_TransportEnergyCons!H$3:H$1000)</f>
        <v>2.9948517508076949E-4</v>
      </c>
      <c r="K1145" s="1" cm="1">
        <f t="array" ref="K1145">SUMPRODUCT(("T-Plg-elc-dsl_S1"=[1]OUT_TransportEnergyCons!$A$3:$A$1000)*1,("Var_Fin"=[1]OUT_TransportEnergyCons!$B$3:$B$1000)*1,ISNUMBER(SEARCH("ELC",[1]OUT_TransportEnergyCons!$C$3:$C$1000))*1,[1]OUT_TransportEnergyCons!I$3:I$1000)</f>
        <v>1.5095535916001863E-4</v>
      </c>
    </row>
    <row r="1146" spans="2:11" x14ac:dyDescent="0.35">
      <c r="B1146" s="5" t="str">
        <f t="shared" si="744"/>
        <v>SPS3</v>
      </c>
      <c r="C1146" s="5" t="str">
        <f t="shared" si="745"/>
        <v>CH</v>
      </c>
      <c r="D1146" t="s">
        <v>1249</v>
      </c>
      <c r="E1146" t="s">
        <v>8</v>
      </c>
      <c r="F1146" s="1" cm="1">
        <f t="array" ref="F1146">SUMPRODUCT(("T-Plg-elc-dsl_S2"=[1]OUT_TransportEnergyCons!$A$3:$A$1000)*1,("Var_Fin"=[1]OUT_TransportEnergyCons!$B$3:$B$1000)*1,ISNUMBER(SEARCH("ELC",[1]OUT_TransportEnergyCons!$C$3:$C$1000))*1,[1]OUT_TransportEnergyCons!D$3:D$1000)</f>
        <v>1.87609763784465E-6</v>
      </c>
      <c r="G1146" s="1" cm="1">
        <f t="array" ref="G1146">SUMPRODUCT(("T-Plg-elc-dsl_S2"=[1]OUT_TransportEnergyCons!$A$3:$A$1000)*1,("Var_Fin"=[1]OUT_TransportEnergyCons!$B$3:$B$1000)*1,ISNUMBER(SEARCH("ELC",[1]OUT_TransportEnergyCons!$C$3:$C$1000))*1,[1]OUT_TransportEnergyCons!E$3:E$1000)</f>
        <v>9.4639034044022538E-5</v>
      </c>
      <c r="H1146" s="1" cm="1">
        <f t="array" ref="H1146">SUMPRODUCT(("T-Plg-elc-dsl_S2"=[1]OUT_TransportEnergyCons!$A$3:$A$1000)*1,("Var_Fin"=[1]OUT_TransportEnergyCons!$B$3:$B$1000)*1,ISNUMBER(SEARCH("ELC",[1]OUT_TransportEnergyCons!$C$3:$C$1000))*1,[1]OUT_TransportEnergyCons!F$3:F$1000)</f>
        <v>3.2719087273651006E-4</v>
      </c>
      <c r="I1146" s="1" cm="1">
        <f t="array" ref="I1146">SUMPRODUCT(("T-Plg-elc-dsl_S2"=[1]OUT_TransportEnergyCons!$A$3:$A$1000)*1,("Var_Fin"=[1]OUT_TransportEnergyCons!$B$3:$B$1000)*1,ISNUMBER(SEARCH("ELC",[1]OUT_TransportEnergyCons!$C$3:$C$1000))*1,[1]OUT_TransportEnergyCons!G$3:G$1000)</f>
        <v>7.3174289784610298E-4</v>
      </c>
      <c r="J1146" s="1" cm="1">
        <f t="array" ref="J1146">SUMPRODUCT(("T-Plg-elc-dsl_S2"=[1]OUT_TransportEnergyCons!$A$3:$A$1000)*1,("Var_Fin"=[1]OUT_TransportEnergyCons!$B$3:$B$1000)*1,ISNUMBER(SEARCH("ELC",[1]OUT_TransportEnergyCons!$C$3:$C$1000))*1,[1]OUT_TransportEnergyCons!H$3:H$1000)</f>
        <v>1.1779912182432663E-3</v>
      </c>
      <c r="K1146" s="1" cm="1">
        <f t="array" ref="K1146">SUMPRODUCT(("T-Plg-elc-dsl_S2"=[1]OUT_TransportEnergyCons!$A$3:$A$1000)*1,("Var_Fin"=[1]OUT_TransportEnergyCons!$B$3:$B$1000)*1,ISNUMBER(SEARCH("ELC",[1]OUT_TransportEnergyCons!$C$3:$C$1000))*1,[1]OUT_TransportEnergyCons!I$3:I$1000)</f>
        <v>3.8770538993139172E-4</v>
      </c>
    </row>
    <row r="1147" spans="2:11" x14ac:dyDescent="0.35">
      <c r="B1147" s="5" t="str">
        <f t="shared" si="744"/>
        <v>SPS3</v>
      </c>
      <c r="C1147" s="5" t="str">
        <f t="shared" si="745"/>
        <v>CH</v>
      </c>
      <c r="D1147" t="s">
        <v>1250</v>
      </c>
      <c r="E1147" t="s">
        <v>8</v>
      </c>
      <c r="F1147" s="1" cm="1">
        <f t="array" ref="F1147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SUMPRODUCT(("T-Plg-elc-dsl_S3"=[1]OUT_TransportEnergyCons!$A$3:$A$1000)*1,("Var_Fin"=[1]OUT_TransportEnergyCons!$B$3:$B$1000)*1,ISNUMBER(SEARCH("ELC",[1]OUT_TransportEnergyCons!$C$3:$C$1000))*1,[1]OUT_TransportEnergyCons!E$3:E$1000)</f>
        <v>4.2286869604162946E-4</v>
      </c>
      <c r="H1147" s="1" cm="1">
        <f t="array" ref="H1147">SUMPRODUCT(("T-Plg-elc-dsl_S3"=[1]OUT_TransportEnergyCons!$A$3:$A$1000)*1,("Var_Fin"=[1]OUT_TransportEnergyCons!$B$3:$B$1000)*1,ISNUMBER(SEARCH("ELC",[1]OUT_TransportEnergyCons!$C$3:$C$1000))*1,[1]OUT_TransportEnergyCons!F$3:F$1000)</f>
        <v>0.13317868723331849</v>
      </c>
      <c r="I1147" s="1" cm="1">
        <f t="array" ref="I1147">SUMPRODUCT(("T-Plg-elc-dsl_S3"=[1]OUT_TransportEnergyCons!$A$3:$A$1000)*1,("Var_Fin"=[1]OUT_TransportEnergyCons!$B$3:$B$1000)*1,ISNUMBER(SEARCH("ELC",[1]OUT_TransportEnergyCons!$C$3:$C$1000))*1,[1]OUT_TransportEnergyCons!G$3:G$1000)</f>
        <v>0.61718151212543804</v>
      </c>
      <c r="J1147" s="1" cm="1">
        <f t="array" ref="J1147">SUMPRODUCT(("T-Plg-elc-dsl_S3"=[1]OUT_TransportEnergyCons!$A$3:$A$1000)*1,("Var_Fin"=[1]OUT_TransportEnergyCons!$B$3:$B$1000)*1,ISNUMBER(SEARCH("ELC",[1]OUT_TransportEnergyCons!$C$3:$C$1000))*1,[1]OUT_TransportEnergyCons!H$3:H$1000)</f>
        <v>1.2869707720262475</v>
      </c>
      <c r="K1147" s="1" cm="1">
        <f t="array" ref="K1147">SUMPRODUCT(("T-Plg-elc-dsl_S3"=[1]OUT_TransportEnergyCons!$A$3:$A$1000)*1,("Var_Fin"=[1]OUT_TransportEnergyCons!$B$3:$B$1000)*1,ISNUMBER(SEARCH("ELC",[1]OUT_TransportEnergyCons!$C$3:$C$1000))*1,[1]OUT_TransportEnergyCons!I$3:I$1000)</f>
        <v>0.26237404201872822</v>
      </c>
    </row>
    <row r="1148" spans="2:11" x14ac:dyDescent="0.35">
      <c r="B1148" s="5" t="str">
        <f t="shared" si="744"/>
        <v>SPS3</v>
      </c>
      <c r="C1148" s="5" t="str">
        <f t="shared" si="745"/>
        <v>CH</v>
      </c>
      <c r="D1148" t="s">
        <v>1251</v>
      </c>
      <c r="E1148" t="s">
        <v>8</v>
      </c>
      <c r="F1148" s="1" cm="1">
        <f t="array" ref="F1148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SUMPRODUCT(("T-Plg-elc-dsl_S4"=[1]OUT_TransportEnergyCons!$A$3:$A$1000)*1,("Var_Fin"=[1]OUT_TransportEnergyCons!$B$3:$B$1000)*1,ISNUMBER(SEARCH("ELC",[1]OUT_TransportEnergyCons!$C$3:$C$1000))*1,[1]OUT_TransportEnergyCons!E$3:E$1000)</f>
        <v>4.1330521115941145E-4</v>
      </c>
      <c r="H1148" s="1" cm="1">
        <f t="array" ref="H1148">SUMPRODUCT(("T-Plg-elc-dsl_S4"=[1]OUT_TransportEnergyCons!$A$3:$A$1000)*1,("Var_Fin"=[1]OUT_TransportEnergyCons!$B$3:$B$1000)*1,ISNUMBER(SEARCH("ELC",[1]OUT_TransportEnergyCons!$C$3:$C$1000))*1,[1]OUT_TransportEnergyCons!F$3:F$1000)</f>
        <v>1.1595500877034609E-3</v>
      </c>
      <c r="I1148" s="1" cm="1">
        <f t="array" ref="I1148">SUMPRODUCT(("T-Plg-elc-dsl_S4"=[1]OUT_TransportEnergyCons!$A$3:$A$1000)*1,("Var_Fin"=[1]OUT_TransportEnergyCons!$B$3:$B$1000)*1,ISNUMBER(SEARCH("ELC",[1]OUT_TransportEnergyCons!$C$3:$C$1000))*1,[1]OUT_TransportEnergyCons!G$3:G$1000)</f>
        <v>3.877552118804928E-3</v>
      </c>
      <c r="J1148" s="1" cm="1">
        <f t="array" ref="J1148">SUMPRODUCT(("T-Plg-elc-dsl_S4"=[1]OUT_TransportEnergyCons!$A$3:$A$1000)*1,("Var_Fin"=[1]OUT_TransportEnergyCons!$B$3:$B$1000)*1,ISNUMBER(SEARCH("ELC",[1]OUT_TransportEnergyCons!$C$3:$C$1000))*1,[1]OUT_TransportEnergyCons!H$3:H$1000)</f>
        <v>2.1225282076775022E-3</v>
      </c>
      <c r="K1148" s="1" cm="1">
        <f t="array" ref="K1148">SUMPRODUCT(("T-Plg-elc-dsl_S4"=[1]OUT_TransportEnergyCons!$A$3:$A$1000)*1,("Var_Fin"=[1]OUT_TransportEnergyCons!$B$3:$B$1000)*1,ISNUMBER(SEARCH("ELC",[1]OUT_TransportEnergyCons!$C$3:$C$1000))*1,[1]OUT_TransportEnergyCons!I$3:I$1000)</f>
        <v>6.737581070891353E-4</v>
      </c>
    </row>
    <row r="1149" spans="2:11" x14ac:dyDescent="0.35">
      <c r="B1149" s="5" t="str">
        <f t="shared" si="744"/>
        <v>SPS3</v>
      </c>
      <c r="C1149" s="5" t="str">
        <f t="shared" si="745"/>
        <v>CH</v>
      </c>
      <c r="D1149" t="s">
        <v>1252</v>
      </c>
      <c r="E1149" t="s">
        <v>8</v>
      </c>
      <c r="F1149" s="1">
        <f>[1]Transport!B$32</f>
        <v>0</v>
      </c>
      <c r="G1149" s="1">
        <f>[1]Transport!C$32</f>
        <v>0</v>
      </c>
      <c r="H1149" s="1">
        <f>[1]Transport!D$32</f>
        <v>0</v>
      </c>
      <c r="I1149" s="1">
        <f>[1]Transport!E$32</f>
        <v>0.16556348545801849</v>
      </c>
      <c r="J1149" s="1">
        <f>[1]Transport!F$32</f>
        <v>0.53601827410793135</v>
      </c>
      <c r="K1149" s="1">
        <f>[1]Transport!G$32</f>
        <v>1.7477047059991038</v>
      </c>
    </row>
    <row r="1150" spans="2:11" x14ac:dyDescent="0.35">
      <c r="B1150" s="5" t="str">
        <f t="shared" si="744"/>
        <v>SPS3</v>
      </c>
      <c r="C1150" s="5" t="str">
        <f>C1144</f>
        <v>CH</v>
      </c>
      <c r="D1150" t="s">
        <v>1253</v>
      </c>
      <c r="E1150" t="s">
        <v>8</v>
      </c>
      <c r="F1150" s="1">
        <f>SUM(F1151:F1154)</f>
        <v>8.9692811677470304E-4</v>
      </c>
      <c r="G1150" s="1">
        <f t="shared" ref="G1150:K1150" si="746">SUM(G1151:G1154)</f>
        <v>2.0865725546912375E-3</v>
      </c>
      <c r="H1150" s="1">
        <f t="shared" si="746"/>
        <v>2.0625828595925285E-3</v>
      </c>
      <c r="I1150" s="1">
        <f t="shared" si="746"/>
        <v>0</v>
      </c>
      <c r="J1150" s="1">
        <f t="shared" si="746"/>
        <v>2.4990692520449861E-4</v>
      </c>
      <c r="K1150" s="1">
        <f t="shared" si="746"/>
        <v>2.3675908219292121E-4</v>
      </c>
    </row>
    <row r="1151" spans="2:11" x14ac:dyDescent="0.35">
      <c r="B1151" s="5" t="str">
        <f t="shared" si="744"/>
        <v>SPS3</v>
      </c>
      <c r="C1151" s="5" t="str">
        <f t="shared" si="743"/>
        <v>CH</v>
      </c>
      <c r="D1151" t="s">
        <v>1254</v>
      </c>
      <c r="E1151" t="s">
        <v>8</v>
      </c>
      <c r="F1151" s="1" cm="1">
        <f t="array" ref="F1151">SUMPRODUCT(("T_C-FC-H2O-S1"=[1]OUT_TransportEnergyCons!$A$3:$A$1000)*1,("Var_Fin"=[1]OUT_TransportEnergyCons!$B$3:$B$1000)*1,ISNUMBER(SEARCH("H2",[1]OUT_TransportEnergyCons!$C$3:$C$1000))*1,[1]OUT_TransportEnergyCons!D$3:D$1000)</f>
        <v>0</v>
      </c>
      <c r="G1151" s="1" cm="1">
        <f t="array" ref="G1151">SUMPRODUCT(("T_C-FC-H2O-S1"=[1]OUT_TransportEnergyCons!$A$3:$A$1000)*1,("Var_Fin"=[1]OUT_TransportEnergyCons!$B$3:$B$1000)*1,ISNUMBER(SEARCH("H2",[1]OUT_TransportEnergyCons!$C$3:$C$1000))*1,[1]OUT_TransportEnergyCons!E$3:E$1000)</f>
        <v>5.7332750535302513E-5</v>
      </c>
      <c r="H1151" s="1" cm="1">
        <f t="array" ref="H1151">SUMPRODUCT(("T_C-FC-H2O-S1"=[1]OUT_TransportEnergyCons!$A$3:$A$1000)*1,("Var_Fin"=[1]OUT_TransportEnergyCons!$B$3:$B$1000)*1,ISNUMBER(SEARCH("H2",[1]OUT_TransportEnergyCons!$C$3:$C$1000))*1,[1]OUT_TransportEnergyCons!F$3:F$1000)</f>
        <v>9.5617437861968203E-5</v>
      </c>
      <c r="I1151" s="1" cm="1">
        <f t="array" ref="I1151">SUMPRODUCT(("T_C-FC-H2O-S1"=[1]OUT_TransportEnergyCons!$A$3:$A$1000)*1,("Var_Fin"=[1]OUT_TransportEnergyCons!$B$3:$B$1000)*1,ISNUMBER(SEARCH("H2",[1]OUT_TransportEnergyCons!$C$3:$C$1000))*1,[1]OUT_TransportEnergyCons!G$3:G$1000)</f>
        <v>0</v>
      </c>
      <c r="J1151" s="1" cm="1">
        <f t="array" ref="J1151">SUMPRODUCT(("T_C-FC-H2O-S1"=[1]OUT_TransportEnergyCons!$A$3:$A$1000)*1,("Var_Fin"=[1]OUT_TransportEnergyCons!$B$3:$B$1000)*1,ISNUMBER(SEARCH("H2",[1]OUT_TransportEnergyCons!$C$3:$C$1000))*1,[1]OUT_TransportEnergyCons!H$3:H$1000)</f>
        <v>5.01704830817381E-5</v>
      </c>
      <c r="K1151" s="1" cm="1">
        <f t="array" ref="K1151">SUMPRODUCT(("T_C-FC-H2O-S1"=[1]OUT_TransportEnergyCons!$A$3:$A$1000)*1,("Var_Fin"=[1]OUT_TransportEnergyCons!$B$3:$B$1000)*1,ISNUMBER(SEARCH("H2",[1]OUT_TransportEnergyCons!$C$3:$C$1000))*1,[1]OUT_TransportEnergyCons!I$3:I$1000)</f>
        <v>3.3091374955980312E-5</v>
      </c>
    </row>
    <row r="1152" spans="2:11" x14ac:dyDescent="0.35">
      <c r="B1152" s="5" t="str">
        <f t="shared" si="744"/>
        <v>SPS3</v>
      </c>
      <c r="C1152" s="5" t="str">
        <f t="shared" si="743"/>
        <v>CH</v>
      </c>
      <c r="D1152" t="s">
        <v>1255</v>
      </c>
      <c r="E1152" t="s">
        <v>8</v>
      </c>
      <c r="F1152" s="1" cm="1">
        <f t="array" ref="F1152">SUMPRODUCT(("T_C-FC-H2O-S2"=[1]OUT_TransportEnergyCons!$A$3:$A$1000)*1,("Var_Fin"=[1]OUT_TransportEnergyCons!$B$3:$B$1000)*1,ISNUMBER(SEARCH("H2",[1]OUT_TransportEnergyCons!$C$3:$C$1000))*1,[1]OUT_TransportEnergyCons!D$3:D$1000)</f>
        <v>9.2245528929226693E-5</v>
      </c>
      <c r="G1152" s="1" cm="1">
        <f t="array" ref="G1152">SUMPRODUCT(("T_C-FC-H2O-S2"=[1]OUT_TransportEnergyCons!$A$3:$A$1000)*1,("Var_Fin"=[1]OUT_TransportEnergyCons!$B$3:$B$1000)*1,ISNUMBER(SEARCH("H2",[1]OUT_TransportEnergyCons!$C$3:$C$1000))*1,[1]OUT_TransportEnergyCons!E$3:E$1000)</f>
        <v>1.3590794208174318E-4</v>
      </c>
      <c r="H1152" s="1" cm="1">
        <f t="array" ref="H1152">SUMPRODUCT(("T_C-FC-H2O-S2"=[1]OUT_TransportEnergyCons!$A$3:$A$1000)*1,("Var_Fin"=[1]OUT_TransportEnergyCons!$B$3:$B$1000)*1,ISNUMBER(SEARCH("H2",[1]OUT_TransportEnergyCons!$C$3:$C$1000))*1,[1]OUT_TransportEnergyCons!F$3:F$1000)</f>
        <v>1.641677479634922E-4</v>
      </c>
      <c r="I1152" s="1" cm="1">
        <f t="array" ref="I1152">SUMPRODUCT(("T_C-FC-H2O-S2"=[1]OUT_TransportEnergyCons!$A$3:$A$1000)*1,("Var_Fin"=[1]OUT_TransportEnergyCons!$B$3:$B$1000)*1,ISNUMBER(SEARCH("H2",[1]OUT_TransportEnergyCons!$C$3:$C$1000))*1,[1]OUT_TransportEnergyCons!G$3:G$1000)</f>
        <v>0</v>
      </c>
      <c r="J1152" s="1" cm="1">
        <f t="array" ref="J1152">SUMPRODUCT(("T_C-FC-H2O-S2"=[1]OUT_TransportEnergyCons!$A$3:$A$1000)*1,("Var_Fin"=[1]OUT_TransportEnergyCons!$B$3:$B$1000)*1,ISNUMBER(SEARCH("H2",[1]OUT_TransportEnergyCons!$C$3:$C$1000))*1,[1]OUT_TransportEnergyCons!H$3:H$1000)</f>
        <v>6.4451992963308037E-5</v>
      </c>
      <c r="K1152" s="1" cm="1">
        <f t="array" ref="K1152">SUMPRODUCT(("T_C-FC-H2O-S2"=[1]OUT_TransportEnergyCons!$A$3:$A$1000)*1,("Var_Fin"=[1]OUT_TransportEnergyCons!$B$3:$B$1000)*1,ISNUMBER(SEARCH("H2",[1]OUT_TransportEnergyCons!$C$3:$C$1000))*1,[1]OUT_TransportEnergyCons!I$3:I$1000)</f>
        <v>5.6253481383624638E-5</v>
      </c>
    </row>
    <row r="1153" spans="2:11" x14ac:dyDescent="0.35">
      <c r="B1153" s="5" t="str">
        <f t="shared" si="744"/>
        <v>SPS3</v>
      </c>
      <c r="C1153" s="5" t="str">
        <f t="shared" si="743"/>
        <v>CH</v>
      </c>
      <c r="D1153" t="s">
        <v>1256</v>
      </c>
      <c r="E1153" t="s">
        <v>8</v>
      </c>
      <c r="F1153" s="1" cm="1">
        <f t="array" ref="F1153">SUMPRODUCT(("T_C-FC-H2O-S3"=[1]OUT_TransportEnergyCons!$A$3:$A$1000)*1,("Var_Fin"=[1]OUT_TransportEnergyCons!$B$3:$B$1000)*1,ISNUMBER(SEARCH("H2",[1]OUT_TransportEnergyCons!$C$3:$C$1000))*1,[1]OUT_TransportEnergyCons!D$3:D$1000)</f>
        <v>8.0468258784547632E-4</v>
      </c>
      <c r="G1153" s="1" cm="1">
        <f t="array" ref="G1153">SUMPRODUCT(("T_C-FC-H2O-S3"=[1]OUT_TransportEnergyCons!$A$3:$A$1000)*1,("Var_Fin"=[1]OUT_TransportEnergyCons!$B$3:$B$1000)*1,ISNUMBER(SEARCH("H2",[1]OUT_TransportEnergyCons!$C$3:$C$1000))*1,[1]OUT_TransportEnergyCons!E$3:E$1000)</f>
        <v>1.8437291191345823E-3</v>
      </c>
      <c r="H1153" s="1" cm="1">
        <f t="array" ref="H1153">SUMPRODUCT(("T_C-FC-H2O-S3"=[1]OUT_TransportEnergyCons!$A$3:$A$1000)*1,("Var_Fin"=[1]OUT_TransportEnergyCons!$B$3:$B$1000)*1,ISNUMBER(SEARCH("H2",[1]OUT_TransportEnergyCons!$C$3:$C$1000))*1,[1]OUT_TransportEnergyCons!F$3:F$1000)</f>
        <v>1.7273564358778514E-3</v>
      </c>
      <c r="I1153" s="1" cm="1">
        <f t="array" ref="I1153">SUMPRODUCT(("T_C-FC-H2O-S3"=[1]OUT_TransportEnergyCons!$A$3:$A$1000)*1,("Var_Fin"=[1]OUT_TransportEnergyCons!$B$3:$B$1000)*1,ISNUMBER(SEARCH("H2",[1]OUT_TransportEnergyCons!$C$3:$C$1000))*1,[1]OUT_TransportEnergyCons!G$3:G$1000)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SUMPRODUCT(("T_C-FC-H2O-S3"=[1]OUT_TransportEnergyCons!$A$3:$A$1000)*1,("Var_Fin"=[1]OUT_TransportEnergyCons!$B$3:$B$1000)*1,ISNUMBER(SEARCH("H2",[1]OUT_TransportEnergyCons!$C$3:$C$1000))*1,[1]OUT_TransportEnergyCons!H$3:H$1000)</f>
        <v>6.4926148685299473E-5</v>
      </c>
      <c r="K1153" s="1" cm="1">
        <f t="array" ref="K1153">SUMPRODUCT(("T_C-FC-H2O-S3"=[1]OUT_TransportEnergyCons!$A$3:$A$1000)*1,("Var_Fin"=[1]OUT_TransportEnergyCons!$B$3:$B$1000)*1,ISNUMBER(SEARCH("H2",[1]OUT_TransportEnergyCons!$C$3:$C$1000))*1,[1]OUT_TransportEnergyCons!I$3:I$1000)</f>
        <v>6.954088017854603E-5</v>
      </c>
    </row>
    <row r="1154" spans="2:11" x14ac:dyDescent="0.35">
      <c r="B1154" s="5" t="str">
        <f t="shared" si="744"/>
        <v>SPS3</v>
      </c>
      <c r="C1154" s="5" t="str">
        <f t="shared" si="743"/>
        <v>CH</v>
      </c>
      <c r="D1154" t="s">
        <v>1257</v>
      </c>
      <c r="E1154" t="s">
        <v>8</v>
      </c>
      <c r="F1154" s="1" cm="1">
        <f t="array" ref="F1154">SUMPRODUCT(("T_C-FC-H2O-S4"=[1]OUT_TransportEnergyCons!$A$3:$A$1000)*1,("Var_Fin"=[1]OUT_TransportEnergyCons!$B$3:$B$1000)*1,ISNUMBER(SEARCH("H2",[1]OUT_TransportEnergyCons!$C$3:$C$1000))*1,[1]OUT_TransportEnergyCons!D$3:D$1000)</f>
        <v>0</v>
      </c>
      <c r="G1154" s="1" cm="1">
        <f t="array" ref="G1154">SUMPRODUCT(("T_C-FC-H2O-S4"=[1]OUT_TransportEnergyCons!$A$3:$A$1000)*1,("Var_Fin"=[1]OUT_TransportEnergyCons!$B$3:$B$1000)*1,ISNUMBER(SEARCH("H2",[1]OUT_TransportEnergyCons!$C$3:$C$1000))*1,[1]OUT_TransportEnergyCons!E$3:E$1000)</f>
        <v>4.9602742939609474E-5</v>
      </c>
      <c r="H1154" s="1" cm="1">
        <f t="array" ref="H1154">SUMPRODUCT(("T_C-FC-H2O-S4"=[1]OUT_TransportEnergyCons!$A$3:$A$1000)*1,("Var_Fin"=[1]OUT_TransportEnergyCons!$B$3:$B$1000)*1,ISNUMBER(SEARCH("H2",[1]OUT_TransportEnergyCons!$C$3:$C$1000))*1,[1]OUT_TransportEnergyCons!F$3:F$1000)</f>
        <v>7.5441237889217058E-5</v>
      </c>
      <c r="I1154" s="1" cm="1">
        <f t="array" ref="I1154">SUMPRODUCT(("T_C-FC-H2O-S4"=[1]OUT_TransportEnergyCons!$A$3:$A$1000)*1,("Var_Fin"=[1]OUT_TransportEnergyCons!$B$3:$B$1000)*1,ISNUMBER(SEARCH("H2",[1]OUT_TransportEnergyCons!$C$3:$C$1000))*1,[1]OUT_TransportEnergyCons!G$3:G$1000)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SUMPRODUCT(("T_C-FC-H2O-S4"=[1]OUT_TransportEnergyCons!$A$3:$A$1000)*1,("Var_Fin"=[1]OUT_TransportEnergyCons!$B$3:$B$1000)*1,ISNUMBER(SEARCH("H2",[1]OUT_TransportEnergyCons!$C$3:$C$1000))*1,[1]OUT_TransportEnergyCons!H$3:H$1000)</f>
        <v>7.0358300474153011E-5</v>
      </c>
      <c r="K1154" s="1" cm="1">
        <f t="array" ref="K1154">SUMPRODUCT(("T_C-FC-H2O-S4"=[1]OUT_TransportEnergyCons!$A$3:$A$1000)*1,("Var_Fin"=[1]OUT_TransportEnergyCons!$B$3:$B$1000)*1,ISNUMBER(SEARCH("H2",[1]OUT_TransportEnergyCons!$C$3:$C$1000))*1,[1]OUT_TransportEnergyCons!I$3:I$1000)</f>
        <v>7.7873345674770239E-5</v>
      </c>
    </row>
    <row r="1155" spans="2:11" x14ac:dyDescent="0.35">
      <c r="B1155" s="5" t="str">
        <f t="shared" si="744"/>
        <v>SPS3</v>
      </c>
      <c r="C1155" s="5" t="str">
        <f t="shared" si="743"/>
        <v>CH</v>
      </c>
      <c r="D1155" t="s">
        <v>1258</v>
      </c>
      <c r="E1155" t="s">
        <v>8</v>
      </c>
      <c r="F1155" s="1">
        <f>SUM(F1160:F1177)</f>
        <v>76.854574409842598</v>
      </c>
      <c r="G1155" s="1">
        <f t="shared" ref="G1155:K1155" si="747">SUM(G1160:G1177)</f>
        <v>77.393570354631862</v>
      </c>
      <c r="H1155" s="1">
        <f t="shared" si="747"/>
        <v>71.706828186413517</v>
      </c>
      <c r="I1155" s="1">
        <f t="shared" si="747"/>
        <v>62.223555732479475</v>
      </c>
      <c r="J1155" s="1">
        <f t="shared" si="747"/>
        <v>13.045279797508309</v>
      </c>
      <c r="K1155" s="1">
        <f t="shared" si="747"/>
        <v>0.48063852172907762</v>
      </c>
    </row>
    <row r="1156" spans="2:11" x14ac:dyDescent="0.35">
      <c r="B1156" s="5" t="str">
        <f t="shared" si="744"/>
        <v>SPS3</v>
      </c>
      <c r="C1156" s="5" t="str">
        <f t="shared" si="743"/>
        <v>CH</v>
      </c>
      <c r="D1156" t="s">
        <v>1259</v>
      </c>
      <c r="E1156" t="str">
        <f>E1155</f>
        <v>PJ/yr.</v>
      </c>
      <c r="F1156" s="1">
        <f>F1155-F1157</f>
        <v>72.647495786394757</v>
      </c>
      <c r="G1156" s="1">
        <f t="shared" ref="G1156:K1156" si="748">G1155-G1157</f>
        <v>73.157034845747873</v>
      </c>
      <c r="H1156" s="1">
        <f t="shared" si="748"/>
        <v>67.769624646355538</v>
      </c>
      <c r="I1156" s="1">
        <f t="shared" si="748"/>
        <v>57.969967605930087</v>
      </c>
      <c r="J1156" s="1">
        <f t="shared" si="748"/>
        <v>5.4101831313900632</v>
      </c>
      <c r="K1156" s="1">
        <f t="shared" si="748"/>
        <v>-6.7903593292381603E-3</v>
      </c>
    </row>
    <row r="1157" spans="2:11" x14ac:dyDescent="0.35">
      <c r="B1157" s="5" t="str">
        <f t="shared" si="744"/>
        <v>SPS3</v>
      </c>
      <c r="C1157" s="5" t="str">
        <f t="shared" si="743"/>
        <v>CH</v>
      </c>
      <c r="D1157" t="s">
        <v>1260</v>
      </c>
      <c r="E1157" t="str">
        <f>E1156</f>
        <v>PJ/yr.</v>
      </c>
      <c r="F1157" s="1">
        <f>SUM(F1158:F1159)</f>
        <v>4.2070786234478446</v>
      </c>
      <c r="G1157" s="1">
        <f t="shared" ref="G1157" si="749">SUM(G1158:G1159)</f>
        <v>4.2365355088839873</v>
      </c>
      <c r="H1157" s="1">
        <f t="shared" ref="H1157" si="750">SUM(H1158:H1159)</f>
        <v>3.9372035400579843</v>
      </c>
      <c r="I1157" s="1">
        <f t="shared" ref="I1157" si="751">SUM(I1158:I1159)</f>
        <v>4.2535881265493867</v>
      </c>
      <c r="J1157" s="1">
        <f t="shared" ref="J1157" si="752">SUM(J1158:J1159)</f>
        <v>7.6350966661182458</v>
      </c>
      <c r="K1157" s="1">
        <f t="shared" ref="K1157" si="753">SUM(K1158:K1159)</f>
        <v>0.48742888105831578</v>
      </c>
    </row>
    <row r="1158" spans="2:11" x14ac:dyDescent="0.35">
      <c r="B1158" s="5" t="str">
        <f t="shared" si="744"/>
        <v>SPS3</v>
      </c>
      <c r="C1158" s="5" t="str">
        <f t="shared" si="743"/>
        <v>CH</v>
      </c>
      <c r="D1158" t="s">
        <v>1261</v>
      </c>
      <c r="E1158" t="str">
        <f>E1157</f>
        <v>PJ/yr.</v>
      </c>
      <c r="F1158" s="1">
        <f>[1]Transport!B$25/SUM([1]Transport!B$21,[1]Transport!B$25)*F1155*(F$34+F$598)/(F$34+F$598+F$37)</f>
        <v>4.2070786234478446</v>
      </c>
      <c r="G1158" s="1">
        <f>[1]Transport!C$25/SUM([1]Transport!C$21,[1]Transport!C$25)*G1155*(G$34+G$598)/(G$34+G$598+G$37)</f>
        <v>4.2365355088839873</v>
      </c>
      <c r="H1158" s="1">
        <f>[1]Transport!D$25/SUM([1]Transport!D$21,[1]Transport!D$25)*H1155*(H$34+H$598)/(H$34+H$598+H$37)</f>
        <v>3.9372035400579843</v>
      </c>
      <c r="I1158" s="1">
        <f>[1]Transport!E$25/SUM([1]Transport!E$21,[1]Transport!E$25)*I1155*(I$34+I$598)/(I$34+I$598+I$37)</f>
        <v>4.2535881265493867</v>
      </c>
      <c r="J1158" s="1">
        <f>[1]Transport!F$25/SUM([1]Transport!F$21,[1]Transport!F$25)*J1155*(J$34+J$598)/(J$34+J$598+J$37)</f>
        <v>4.3195707514781523</v>
      </c>
      <c r="K1158" s="1">
        <f>[1]Transport!G$25/SUM([1]Transport!G$21,[1]Transport!G$25)*K1155*(K$34+K$598)/(K$34+K$598+K$37)</f>
        <v>2.6422633395310403E-2</v>
      </c>
    </row>
    <row r="1159" spans="2:11" x14ac:dyDescent="0.35">
      <c r="B1159" s="5" t="str">
        <f t="shared" si="744"/>
        <v>SPS3</v>
      </c>
      <c r="C1159" s="5" t="str">
        <f t="shared" si="743"/>
        <v>CH</v>
      </c>
      <c r="D1159" t="s">
        <v>1262</v>
      </c>
      <c r="E1159" t="str">
        <f>E1158</f>
        <v>PJ/yr.</v>
      </c>
      <c r="F1159" s="1">
        <f>(F$37+F$717)/([1]Transport!B$21+[1]Transport!B$25)*F1155</f>
        <v>0</v>
      </c>
      <c r="G1159" s="1">
        <f>(G$37+G$717)/([1]Transport!C$21+[1]Transport!C$25)*G1155</f>
        <v>0</v>
      </c>
      <c r="H1159" s="1">
        <f>(H$37+H$717)/([1]Transport!D$21+[1]Transport!D$25)*H1155</f>
        <v>0</v>
      </c>
      <c r="I1159" s="1">
        <f>(I$37+I$717)/([1]Transport!E$21+[1]Transport!E$25)*I1155</f>
        <v>0</v>
      </c>
      <c r="J1159" s="1">
        <f>(J$37+J$717)/([1]Transport!F$21+[1]Transport!F$25)*J1155</f>
        <v>3.3155259146400939</v>
      </c>
      <c r="K1159" s="1">
        <f>(K$37+K$717)/([1]Transport!G$21+[1]Transport!G$25)*K1155</f>
        <v>0.46100624766300535</v>
      </c>
    </row>
    <row r="1160" spans="2:11" x14ac:dyDescent="0.35">
      <c r="B1160" s="5" t="str">
        <f t="shared" si="744"/>
        <v>SPS3</v>
      </c>
      <c r="C1160" s="5" t="str">
        <f>C1155</f>
        <v>CH</v>
      </c>
      <c r="D1160" t="s">
        <v>1263</v>
      </c>
      <c r="E1160" t="s">
        <v>8</v>
      </c>
      <c r="F1160" s="1" cm="1">
        <f t="array" ref="F1160">SUMPRODUCT(("T_C-HYBGSLEXT"=[1]OUT_TransportEnergyCons!$A$3:$A$1000)*1,("Var_Fin"=[1]OUT_TransportEnergyCons!$B$3:$B$1000)*1,ISNUMBER(SEARCH("GSL",[1]OUT_TransportEnergyCons!$C$3:$C$1000))*1,[1]OUT_TransportEnergyCons!D$3:D$1000)</f>
        <v>1.2540614486735751</v>
      </c>
      <c r="G1160" s="1" cm="1">
        <f t="array" ref="G1160">SUMPRODUCT(("T_C-HYBGSLEXT"=[1]OUT_TransportEnergyCons!$A$3:$A$1000)*1,("Var_Fin"=[1]OUT_TransportEnergyCons!$B$3:$B$1000)*1,ISNUMBER(SEARCH("GSL",[1]OUT_TransportEnergyCons!$C$3:$C$1000))*1,[1]OUT_TransportEnergyCons!E$3:E$1000)</f>
        <v>1.2428826500800623</v>
      </c>
      <c r="H1160" s="1" cm="1">
        <f t="array" ref="H1160">SUMPRODUCT(("T_C-HYBGSLEXT"=[1]OUT_TransportEnergyCons!$A$3:$A$1000)*1,("Var_Fin"=[1]OUT_TransportEnergyCons!$B$3:$B$1000)*1,ISNUMBER(SEARCH("GSL",[1]OUT_TransportEnergyCons!$C$3:$C$1000))*1,[1]OUT_TransportEnergyCons!F$3:F$1000)</f>
        <v>0.92516889542171277</v>
      </c>
      <c r="I1160" s="1" cm="1">
        <f t="array" ref="I1160">SUMPRODUCT(("T_C-HYBGSLEXT"=[1]OUT_TransportEnergyCons!$A$3:$A$1000)*1,("Var_Fin"=[1]OUT_TransportEnergyCons!$B$3:$B$1000)*1,ISNUMBER(SEARCH("GSL",[1]OUT_TransportEnergyCons!$C$3:$C$1000))*1,[1]OUT_TransportEnergyCons!G$3:G$1000)</f>
        <v>0.43895668724256076</v>
      </c>
      <c r="J1160" s="1" cm="1">
        <f t="array" ref="J1160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0" s="1" cm="1">
        <f t="array" ref="K1160">SUMPRODUCT(("T_C-HYBGSLEXT"=[1]OUT_TransportEnergyCons!$A$3:$A$1000)*1,("Var_Fin"=[1]OUT_TransportEnergyCons!$B$3:$B$1000)*1,ISNUMBER(SEARCH("GSL",[1]OUT_TransportEnergyCons!$C$3:$C$1000))*1,[1]OUT_TransportEnergyCons!I$3:I$1000)</f>
        <v>0</v>
      </c>
    </row>
    <row r="1161" spans="2:11" x14ac:dyDescent="0.35">
      <c r="B1161" s="5" t="str">
        <f t="shared" si="744"/>
        <v>SPS3</v>
      </c>
      <c r="C1161" s="5" t="str">
        <f t="shared" si="743"/>
        <v>CH</v>
      </c>
      <c r="D1161" t="s">
        <v>1264</v>
      </c>
      <c r="E1161" t="s">
        <v>8</v>
      </c>
      <c r="F1161" s="1" cm="1">
        <f t="array" ref="F1161">SUMPRODUCT(("T_C-HY-GSL-S1"=[1]OUT_TransportEnergyCons!$A$3:$A$1000)*1,("Var_Fin"=[1]OUT_TransportEnergyCons!$B$3:$B$1000)*1,ISNUMBER(SEARCH("GSL",[1]OUT_TransportEnergyCons!$C$3:$C$1000))*1,[1]OUT_TransportEnergyCons!D$3:D$1000)</f>
        <v>4.4353102609300671E-2</v>
      </c>
      <c r="G1161" s="1" cm="1">
        <f t="array" ref="G1161">SUMPRODUCT(("T_C-HY-GSL-S1"=[1]OUT_TransportEnergyCons!$A$3:$A$1000)*1,("Var_Fin"=[1]OUT_TransportEnergyCons!$B$3:$B$1000)*1,ISNUMBER(SEARCH("GSL",[1]OUT_TransportEnergyCons!$C$3:$C$1000))*1,[1]OUT_TransportEnergyCons!E$3:E$1000)</f>
        <v>4.8815152188973136E-2</v>
      </c>
      <c r="H1161" s="1" cm="1">
        <f t="array" ref="H1161">SUMPRODUCT(("T_C-HY-GSL-S1"=[1]OUT_TransportEnergyCons!$A$3:$A$1000)*1,("Var_Fin"=[1]OUT_TransportEnergyCons!$B$3:$B$1000)*1,ISNUMBER(SEARCH("GSL",[1]OUT_TransportEnergyCons!$C$3:$C$1000))*1,[1]OUT_TransportEnergyCons!F$3:F$1000)</f>
        <v>4.6377233504066036E-2</v>
      </c>
      <c r="I1161" s="1" cm="1">
        <f t="array" ref="I1161">SUMPRODUCT(("T_C-HY-GSL-S1"=[1]OUT_TransportEnergyCons!$A$3:$A$1000)*1,("Var_Fin"=[1]OUT_TransportEnergyCons!$B$3:$B$1000)*1,ISNUMBER(SEARCH("GSL",[1]OUT_TransportEnergyCons!$C$3:$C$1000))*1,[1]OUT_TransportEnergyCons!G$3:G$1000)</f>
        <v>1.0153842614425828</v>
      </c>
      <c r="J1161" s="1" cm="1">
        <f t="array" ref="J1161">SUMPRODUCT(("T_C-HY-GSL-S1"=[1]OUT_TransportEnergyCons!$A$3:$A$1000)*1,("Var_Fin"=[1]OUT_TransportEnergyCons!$B$3:$B$1000)*1,ISNUMBER(SEARCH("GSL",[1]OUT_TransportEnergyCons!$C$3:$C$1000))*1,[1]OUT_TransportEnergyCons!H$3:H$1000)</f>
        <v>1.7645904090564459</v>
      </c>
      <c r="K1161" s="1" cm="1">
        <f t="array" ref="K1161">SUMPRODUCT(("T_C-HY-GSL-S1"=[1]OUT_TransportEnergyCons!$A$3:$A$1000)*1,("Var_Fin"=[1]OUT_TransportEnergyCons!$B$3:$B$1000)*1,ISNUMBER(SEARCH("GSL",[1]OUT_TransportEnergyCons!$C$3:$C$1000))*1,[1]OUT_TransportEnergyCons!I$3:I$1000)</f>
        <v>1.4731104562676442E-4</v>
      </c>
    </row>
    <row r="1162" spans="2:11" x14ac:dyDescent="0.35">
      <c r="B1162" s="5" t="str">
        <f t="shared" si="744"/>
        <v>SPS3</v>
      </c>
      <c r="C1162" s="5" t="str">
        <f t="shared" si="743"/>
        <v>CH</v>
      </c>
      <c r="D1162" t="s">
        <v>1265</v>
      </c>
      <c r="E1162" t="s">
        <v>8</v>
      </c>
      <c r="F1162" s="1" cm="1">
        <f t="array" ref="F1162">SUMPRODUCT(("T_C-HY-GSL-S2"=[1]OUT_TransportEnergyCons!$A$3:$A$1000)*1,("Var_Fin"=[1]OUT_TransportEnergyCons!$B$3:$B$1000)*1,ISNUMBER(SEARCH("GSL",[1]OUT_TransportEnergyCons!$C$3:$C$1000))*1,[1]OUT_TransportEnergyCons!D$3:D$1000)</f>
        <v>0.13313151543905111</v>
      </c>
      <c r="G1162" s="1" cm="1">
        <f t="array" ref="G1162">SUMPRODUCT(("T_C-HY-GSL-S2"=[1]OUT_TransportEnergyCons!$A$3:$A$1000)*1,("Var_Fin"=[1]OUT_TransportEnergyCons!$B$3:$B$1000)*1,ISNUMBER(SEARCH("GSL",[1]OUT_TransportEnergyCons!$C$3:$C$1000))*1,[1]OUT_TransportEnergyCons!E$3:E$1000)</f>
        <v>0.46248215054856523</v>
      </c>
      <c r="H1162" s="1" cm="1">
        <f t="array" ref="H1162">SUMPRODUCT(("T_C-HY-GSL-S2"=[1]OUT_TransportEnergyCons!$A$3:$A$1000)*1,("Var_Fin"=[1]OUT_TransportEnergyCons!$B$3:$B$1000)*1,ISNUMBER(SEARCH("GSL",[1]OUT_TransportEnergyCons!$C$3:$C$1000))*1,[1]OUT_TransportEnergyCons!F$3:F$1000)</f>
        <v>1.4381766177600261</v>
      </c>
      <c r="I1162" s="1" cm="1">
        <f t="array" ref="I1162">SUMPRODUCT(("T_C-HY-GSL-S2"=[1]OUT_TransportEnergyCons!$A$3:$A$1000)*1,("Var_Fin"=[1]OUT_TransportEnergyCons!$B$3:$B$1000)*1,ISNUMBER(SEARCH("GSL",[1]OUT_TransportEnergyCons!$C$3:$C$1000))*1,[1]OUT_TransportEnergyCons!G$3:G$1000)</f>
        <v>6.4528639347825951</v>
      </c>
      <c r="J1162" s="1" cm="1">
        <f t="array" ref="J1162">SUMPRODUCT(("T_C-HY-GSL-S2"=[1]OUT_TransportEnergyCons!$A$3:$A$1000)*1,("Var_Fin"=[1]OUT_TransportEnergyCons!$B$3:$B$1000)*1,ISNUMBER(SEARCH("GSL",[1]OUT_TransportEnergyCons!$C$3:$C$1000))*1,[1]OUT_TransportEnergyCons!H$3:H$1000)</f>
        <v>2.1593797521319584</v>
      </c>
      <c r="K1162" s="1" cm="1">
        <f t="array" ref="K1162">SUMPRODUCT(("T_C-HY-GSL-S2"=[1]OUT_TransportEnergyCons!$A$3:$A$1000)*1,("Var_Fin"=[1]OUT_TransportEnergyCons!$B$3:$B$1000)*1,ISNUMBER(SEARCH("GSL",[1]OUT_TransportEnergyCons!$C$3:$C$1000))*1,[1]OUT_TransportEnergyCons!I$3:I$1000)</f>
        <v>1.7461593392938753E-4</v>
      </c>
    </row>
    <row r="1163" spans="2:11" x14ac:dyDescent="0.35">
      <c r="B1163" s="5" t="str">
        <f t="shared" si="744"/>
        <v>SPS3</v>
      </c>
      <c r="C1163" s="5" t="str">
        <f t="shared" si="743"/>
        <v>CH</v>
      </c>
      <c r="D1163" t="s">
        <v>1266</v>
      </c>
      <c r="E1163" t="s">
        <v>8</v>
      </c>
      <c r="F1163" s="1" cm="1">
        <f t="array" ref="F1163">SUMPRODUCT(("T_C-HY-GSL-S3"=[1]OUT_TransportEnergyCons!$A$3:$A$1000)*1,("Var_Fin"=[1]OUT_TransportEnergyCons!$B$3:$B$1000)*1,ISNUMBER(SEARCH("GSL",[1]OUT_TransportEnergyCons!$C$3:$C$1000))*1,[1]OUT_TransportEnergyCons!D$3:D$1000)</f>
        <v>9.9073270278778089E-2</v>
      </c>
      <c r="G1163" s="1" cm="1">
        <f t="array" ref="G1163">SUMPRODUCT(("T_C-HY-GSL-S3"=[1]OUT_TransportEnergyCons!$A$3:$A$1000)*1,("Var_Fin"=[1]OUT_TransportEnergyCons!$B$3:$B$1000)*1,ISNUMBER(SEARCH("GSL",[1]OUT_TransportEnergyCons!$C$3:$C$1000))*1,[1]OUT_TransportEnergyCons!E$3:E$1000)</f>
        <v>0.55022898236508089</v>
      </c>
      <c r="H1163" s="1" cm="1">
        <f t="array" ref="H1163">SUMPRODUCT(("T_C-HY-GSL-S3"=[1]OUT_TransportEnergyCons!$A$3:$A$1000)*1,("Var_Fin"=[1]OUT_TransportEnergyCons!$B$3:$B$1000)*1,ISNUMBER(SEARCH("GSL",[1]OUT_TransportEnergyCons!$C$3:$C$1000))*1,[1]OUT_TransportEnergyCons!F$3:F$1000)</f>
        <v>0.5229783748666067</v>
      </c>
      <c r="I1163" s="1" cm="1">
        <f t="array" ref="I1163">SUMPRODUCT(("T_C-HY-GSL-S3"=[1]OUT_TransportEnergyCons!$A$3:$A$1000)*1,("Var_Fin"=[1]OUT_TransportEnergyCons!$B$3:$B$1000)*1,ISNUMBER(SEARCH("GSL",[1]OUT_TransportEnergyCons!$C$3:$C$1000))*1,[1]OUT_TransportEnergyCons!G$3:G$1000)</f>
        <v>0.41784123391579336</v>
      </c>
      <c r="J1163" s="1" cm="1">
        <f t="array" ref="J1163">SUMPRODUCT(("T_C-HY-GSL-S3"=[1]OUT_TransportEnergyCons!$A$3:$A$1000)*1,("Var_Fin"=[1]OUT_TransportEnergyCons!$B$3:$B$1000)*1,ISNUMBER(SEARCH("GSL",[1]OUT_TransportEnergyCons!$C$3:$C$1000))*1,[1]OUT_TransportEnergyCons!H$3:H$1000)</f>
        <v>1.2436128276559397E-3</v>
      </c>
      <c r="K1163" s="1" cm="1">
        <f t="array" ref="K1163">SUMPRODUCT(("T_C-HY-GSL-S3"=[1]OUT_TransportEnergyCons!$A$3:$A$1000)*1,("Var_Fin"=[1]OUT_TransportEnergyCons!$B$3:$B$1000)*1,ISNUMBER(SEARCH("GSL",[1]OUT_TransportEnergyCons!$C$3:$C$1000))*1,[1]OUT_TransportEnergyCons!I$3:I$1000)</f>
        <v>1.482227087002972E-4</v>
      </c>
    </row>
    <row r="1164" spans="2:11" x14ac:dyDescent="0.35">
      <c r="B1164" s="5" t="str">
        <f t="shared" si="744"/>
        <v>SPS3</v>
      </c>
      <c r="C1164" s="5" t="str">
        <f t="shared" si="743"/>
        <v>CH</v>
      </c>
      <c r="D1164" t="s">
        <v>1267</v>
      </c>
      <c r="E1164" t="s">
        <v>8</v>
      </c>
      <c r="F1164" s="1" cm="1">
        <f t="array" ref="F1164">SUMPRODUCT(("T_C-HY-GSL-S4"=[1]OUT_TransportEnergyCons!$A$3:$A$1000)*1,("Var_Fin"=[1]OUT_TransportEnergyCons!$B$3:$B$1000)*1,ISNUMBER(SEARCH("GSL",[1]OUT_TransportEnergyCons!$C$3:$C$1000))*1,[1]OUT_TransportEnergyCons!D$3:D$1000)</f>
        <v>9.0489810560834258E-2</v>
      </c>
      <c r="G1164" s="1" cm="1">
        <f t="array" ref="G1164">SUMPRODUCT(("T_C-HY-GSL-S4"=[1]OUT_TransportEnergyCons!$A$3:$A$1000)*1,("Var_Fin"=[1]OUT_TransportEnergyCons!$B$3:$B$1000)*1,ISNUMBER(SEARCH("GSL",[1]OUT_TransportEnergyCons!$C$3:$C$1000))*1,[1]OUT_TransportEnergyCons!E$3:E$1000)</f>
        <v>0.1382244955804609</v>
      </c>
      <c r="H1164" s="1" cm="1">
        <f t="array" ref="H1164">SUMPRODUCT(("T_C-HY-GSL-S4"=[1]OUT_TransportEnergyCons!$A$3:$A$1000)*1,("Var_Fin"=[1]OUT_TransportEnergyCons!$B$3:$B$1000)*1,ISNUMBER(SEARCH("GSL",[1]OUT_TransportEnergyCons!$C$3:$C$1000))*1,[1]OUT_TransportEnergyCons!F$3:F$1000)</f>
        <v>0.13321810862031686</v>
      </c>
      <c r="I1164" s="1" cm="1">
        <f t="array" ref="I1164">SUMPRODUCT(("T_C-HY-GSL-S4"=[1]OUT_TransportEnergyCons!$A$3:$A$1000)*1,("Var_Fin"=[1]OUT_TransportEnergyCons!$B$3:$B$1000)*1,ISNUMBER(SEARCH("GSL",[1]OUT_TransportEnergyCons!$C$3:$C$1000))*1,[1]OUT_TransportEnergyCons!G$3:G$1000)</f>
        <v>0.11219932019458992</v>
      </c>
      <c r="J1164" s="1" cm="1">
        <f t="array" ref="J1164">SUMPRODUCT(("T_C-HY-GSL-S4"=[1]OUT_TransportEnergyCons!$A$3:$A$1000)*1,("Var_Fin"=[1]OUT_TransportEnergyCons!$B$3:$B$1000)*1,ISNUMBER(SEARCH("GSL",[1]OUT_TransportEnergyCons!$C$3:$C$1000))*1,[1]OUT_TransportEnergyCons!H$3:H$1000)</f>
        <v>1.5852492343913316E-3</v>
      </c>
      <c r="K1164" s="1" cm="1">
        <f t="array" ref="K1164">SUMPRODUCT(("T_C-HY-GSL-S4"=[1]OUT_TransportEnergyCons!$A$3:$A$1000)*1,("Var_Fin"=[1]OUT_TransportEnergyCons!$B$3:$B$1000)*1,ISNUMBER(SEARCH("GSL",[1]OUT_TransportEnergyCons!$C$3:$C$1000))*1,[1]OUT_TransportEnergyCons!I$3:I$1000)</f>
        <v>2.0920646978919184E-4</v>
      </c>
    </row>
    <row r="1165" spans="2:11" x14ac:dyDescent="0.35">
      <c r="B1165" s="5" t="str">
        <f t="shared" si="744"/>
        <v>SPS3</v>
      </c>
      <c r="C1165" s="5" t="str">
        <f t="shared" si="743"/>
        <v>CH</v>
      </c>
      <c r="D1165" t="s">
        <v>1268</v>
      </c>
      <c r="E1165" t="s">
        <v>8</v>
      </c>
      <c r="F1165" s="1" cm="1">
        <f t="array" ref="F1165">SUMPRODUCT(("T_C-ICEGSLEXT"=[1]OUT_TransportEnergyCons!$A$3:$A$1000)*1,("Var_Fin"=[1]OUT_TransportEnergyCons!$B$3:$B$1000)*1,ISNUMBER(SEARCH("GSL",[1]OUT_TransportEnergyCons!$C$3:$C$1000))*1,[1]OUT_TransportEnergyCons!D$3:D$1000)</f>
        <v>63.987653512347016</v>
      </c>
      <c r="G1165" s="1" cm="1">
        <f t="array" ref="G1165">SUMPRODUCT(("T_C-ICEGSLEXT"=[1]OUT_TransportEnergyCons!$A$3:$A$1000)*1,("Var_Fin"=[1]OUT_TransportEnergyCons!$B$3:$B$1000)*1,ISNUMBER(SEARCH("GSL",[1]OUT_TransportEnergyCons!$C$3:$C$1000))*1,[1]OUT_TransportEnergyCons!E$3:E$1000)</f>
        <v>53.392105917812941</v>
      </c>
      <c r="H1165" s="1" cm="1">
        <f t="array" ref="H1165">SUMPRODUCT(("T_C-ICEGSLEXT"=[1]OUT_TransportEnergyCons!$A$3:$A$1000)*1,("Var_Fin"=[1]OUT_TransportEnergyCons!$B$3:$B$1000)*1,ISNUMBER(SEARCH("GSL",[1]OUT_TransportEnergyCons!$C$3:$C$1000))*1,[1]OUT_TransportEnergyCons!F$3:F$1000)</f>
        <v>42.556082028401683</v>
      </c>
      <c r="I1165" s="1" cm="1">
        <f t="array" ref="I1165">SUMPRODUCT(("T_C-ICEGSLEXT"=[1]OUT_TransportEnergyCons!$A$3:$A$1000)*1,("Var_Fin"=[1]OUT_TransportEnergyCons!$B$3:$B$1000)*1,ISNUMBER(SEARCH("GSL",[1]OUT_TransportEnergyCons!$C$3:$C$1000))*1,[1]OUT_TransportEnergyCons!G$3:G$1000)</f>
        <v>12.917199351752751</v>
      </c>
      <c r="J1165" s="1" cm="1">
        <f t="array" ref="J1165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5" s="1" cm="1">
        <f t="array" ref="K1165">SUMPRODUCT(("T_C-ICEGSLEXT"=[1]OUT_TransportEnergyCons!$A$3:$A$1000)*1,("Var_Fin"=[1]OUT_TransportEnergyCons!$B$3:$B$1000)*1,ISNUMBER(SEARCH("GSL",[1]OUT_TransportEnergyCons!$C$3:$C$1000))*1,[1]OUT_TransportEnergyCons!I$3:I$1000)</f>
        <v>0</v>
      </c>
    </row>
    <row r="1166" spans="2:11" x14ac:dyDescent="0.35">
      <c r="B1166" s="5" t="str">
        <f t="shared" si="744"/>
        <v>SPS3</v>
      </c>
      <c r="C1166" s="5" t="str">
        <f t="shared" si="743"/>
        <v>CH</v>
      </c>
      <c r="D1166" t="s">
        <v>1269</v>
      </c>
      <c r="E1166" t="s">
        <v>8</v>
      </c>
      <c r="F1166" s="1" cm="1">
        <f t="array" ref="F1166">SUMPRODUCT(("T_C-ICE-GSL-S1"=[1]OUT_TransportEnergyCons!$A$3:$A$1000)*1,("Var_Fin"=[1]OUT_TransportEnergyCons!$B$3:$B$1000)*1,ISNUMBER(SEARCH("GSL",[1]OUT_TransportEnergyCons!$C$3:$C$1000))*1,[1]OUT_TransportEnergyCons!D$3:D$1000)</f>
        <v>0.44860371871572108</v>
      </c>
      <c r="G1166" s="1" cm="1">
        <f t="array" ref="G1166">SUMPRODUCT(("T_C-ICE-GSL-S1"=[1]OUT_TransportEnergyCons!$A$3:$A$1000)*1,("Var_Fin"=[1]OUT_TransportEnergyCons!$B$3:$B$1000)*1,ISNUMBER(SEARCH("GSL",[1]OUT_TransportEnergyCons!$C$3:$C$1000))*1,[1]OUT_TransportEnergyCons!E$3:E$1000)</f>
        <v>0.39119046742585112</v>
      </c>
      <c r="H1166" s="1" cm="1">
        <f t="array" ref="H1166">SUMPRODUCT(("T_C-ICE-GSL-S1"=[1]OUT_TransportEnergyCons!$A$3:$A$1000)*1,("Var_Fin"=[1]OUT_TransportEnergyCons!$B$3:$B$1000)*1,ISNUMBER(SEARCH("GSL",[1]OUT_TransportEnergyCons!$C$3:$C$1000))*1,[1]OUT_TransportEnergyCons!F$3:F$1000)</f>
        <v>1.1287494557969753</v>
      </c>
      <c r="I1166" s="1" cm="1">
        <f t="array" ref="I1166">SUMPRODUCT(("T_C-ICE-GSL-S1"=[1]OUT_TransportEnergyCons!$A$3:$A$1000)*1,("Var_Fin"=[1]OUT_TransportEnergyCons!$B$3:$B$1000)*1,ISNUMBER(SEARCH("GSL",[1]OUT_TransportEnergyCons!$C$3:$C$1000))*1,[1]OUT_TransportEnergyCons!G$3:G$1000)</f>
        <v>0.94842872386267985</v>
      </c>
      <c r="J1166" s="1" cm="1">
        <f t="array" ref="J1166">SUMPRODUCT(("T_C-ICE-GSL-S1"=[1]OUT_TransportEnergyCons!$A$3:$A$1000)*1,("Var_Fin"=[1]OUT_TransportEnergyCons!$B$3:$B$1000)*1,ISNUMBER(SEARCH("GSL",[1]OUT_TransportEnergyCons!$C$3:$C$1000))*1,[1]OUT_TransportEnergyCons!H$3:H$1000)</f>
        <v>6.5081206876470787E-2</v>
      </c>
      <c r="K1166" s="1" cm="1">
        <f t="array" ref="K1166">SUMPRODUCT(("T_C-ICE-GSL-S1"=[1]OUT_TransportEnergyCons!$A$3:$A$1000)*1,("Var_Fin"=[1]OUT_TransportEnergyCons!$B$3:$B$1000)*1,ISNUMBER(SEARCH("GSL",[1]OUT_TransportEnergyCons!$C$3:$C$1000))*1,[1]OUT_TransportEnergyCons!I$3:I$1000)</f>
        <v>3.2409839201950174E-5</v>
      </c>
    </row>
    <row r="1167" spans="2:11" x14ac:dyDescent="0.35">
      <c r="B1167" s="5" t="str">
        <f t="shared" si="744"/>
        <v>SPS3</v>
      </c>
      <c r="C1167" s="5" t="str">
        <f t="shared" si="743"/>
        <v>CH</v>
      </c>
      <c r="D1167" t="s">
        <v>1270</v>
      </c>
      <c r="E1167" t="s">
        <v>8</v>
      </c>
      <c r="F1167" s="1" cm="1">
        <f t="array" ref="F1167">SUMPRODUCT(("T_C-ICE-GSL-S2"=[1]OUT_TransportEnergyCons!$A$3:$A$1000)*1,("Var_Fin"=[1]OUT_TransportEnergyCons!$B$3:$B$1000)*1,ISNUMBER(SEARCH("GSL",[1]OUT_TransportEnergyCons!$C$3:$C$1000))*1,[1]OUT_TransportEnergyCons!D$3:D$1000)</f>
        <v>3.4306159379563477</v>
      </c>
      <c r="G1167" s="1" cm="1">
        <f t="array" ref="G1167">SUMPRODUCT(("T_C-ICE-GSL-S2"=[1]OUT_TransportEnergyCons!$A$3:$A$1000)*1,("Var_Fin"=[1]OUT_TransportEnergyCons!$B$3:$B$1000)*1,ISNUMBER(SEARCH("GSL",[1]OUT_TransportEnergyCons!$C$3:$C$1000))*1,[1]OUT_TransportEnergyCons!E$3:E$1000)</f>
        <v>5.3088740471949984</v>
      </c>
      <c r="H1167" s="1" cm="1">
        <f t="array" ref="H1167">SUMPRODUCT(("T_C-ICE-GSL-S2"=[1]OUT_TransportEnergyCons!$A$3:$A$1000)*1,("Var_Fin"=[1]OUT_TransportEnergyCons!$B$3:$B$1000)*1,ISNUMBER(SEARCH("GSL",[1]OUT_TransportEnergyCons!$C$3:$C$1000))*1,[1]OUT_TransportEnergyCons!F$3:F$1000)</f>
        <v>4.6730851393943302</v>
      </c>
      <c r="I1167" s="1" cm="1">
        <f t="array" ref="I1167">SUMPRODUCT(("T_C-ICE-GSL-S2"=[1]OUT_TransportEnergyCons!$A$3:$A$1000)*1,("Var_Fin"=[1]OUT_TransportEnergyCons!$B$3:$B$1000)*1,ISNUMBER(SEARCH("GSL",[1]OUT_TransportEnergyCons!$C$3:$C$1000))*1,[1]OUT_TransportEnergyCons!G$3:G$1000)</f>
        <v>3.5426367739551194</v>
      </c>
      <c r="J1167" s="1" cm="1">
        <f t="array" ref="J1167">SUMPRODUCT(("T_C-ICE-GSL-S2"=[1]OUT_TransportEnergyCons!$A$3:$A$1000)*1,("Var_Fin"=[1]OUT_TransportEnergyCons!$B$3:$B$1000)*1,ISNUMBER(SEARCH("GSL",[1]OUT_TransportEnergyCons!$C$3:$C$1000))*1,[1]OUT_TransportEnergyCons!H$3:H$1000)</f>
        <v>2.6053692226568675E-3</v>
      </c>
      <c r="K1167" s="1" cm="1">
        <f t="array" ref="K1167">SUMPRODUCT(("T_C-ICE-GSL-S2"=[1]OUT_TransportEnergyCons!$A$3:$A$1000)*1,("Var_Fin"=[1]OUT_TransportEnergyCons!$B$3:$B$1000)*1,ISNUMBER(SEARCH("GSL",[1]OUT_TransportEnergyCons!$C$3:$C$1000))*1,[1]OUT_TransportEnergyCons!I$3:I$1000)</f>
        <v>2.6326198290451853E-5</v>
      </c>
    </row>
    <row r="1168" spans="2:11" x14ac:dyDescent="0.35">
      <c r="B1168" s="5" t="str">
        <f t="shared" si="744"/>
        <v>SPS3</v>
      </c>
      <c r="C1168" s="5" t="str">
        <f t="shared" si="743"/>
        <v>CH</v>
      </c>
      <c r="D1168" t="s">
        <v>1271</v>
      </c>
      <c r="E1168" t="s">
        <v>8</v>
      </c>
      <c r="F1168" s="1" cm="1">
        <f t="array" ref="F1168">SUMPRODUCT(("T_C-ICE-GSL-S3"=[1]OUT_TransportEnergyCons!$A$3:$A$1000)*1,("Var_Fin"=[1]OUT_TransportEnergyCons!$B$3:$B$1000)*1,ISNUMBER(SEARCH("GSL",[1]OUT_TransportEnergyCons!$C$3:$C$1000))*1,[1]OUT_TransportEnergyCons!D$3:D$1000)</f>
        <v>3.602139011856254</v>
      </c>
      <c r="G1168" s="1" cm="1">
        <f t="array" ref="G1168">SUMPRODUCT(("T_C-ICE-GSL-S3"=[1]OUT_TransportEnergyCons!$A$3:$A$1000)*1,("Var_Fin"=[1]OUT_TransportEnergyCons!$B$3:$B$1000)*1,ISNUMBER(SEARCH("GSL",[1]OUT_TransportEnergyCons!$C$3:$C$1000))*1,[1]OUT_TransportEnergyCons!E$3:E$1000)</f>
        <v>8.8766750385209292</v>
      </c>
      <c r="H1168" s="1" cm="1">
        <f t="array" ref="H1168">SUMPRODUCT(("T_C-ICE-GSL-S3"=[1]OUT_TransportEnergyCons!$A$3:$A$1000)*1,("Var_Fin"=[1]OUT_TransportEnergyCons!$B$3:$B$1000)*1,ISNUMBER(SEARCH("GSL",[1]OUT_TransportEnergyCons!$C$3:$C$1000))*1,[1]OUT_TransportEnergyCons!F$3:F$1000)</f>
        <v>9.8114027427597232</v>
      </c>
      <c r="I1168" s="1" cm="1">
        <f t="array" ref="I1168">SUMPRODUCT(("T_C-ICE-GSL-S3"=[1]OUT_TransportEnergyCons!$A$3:$A$1000)*1,("Var_Fin"=[1]OUT_TransportEnergyCons!$B$3:$B$1000)*1,ISNUMBER(SEARCH("GSL",[1]OUT_TransportEnergyCons!$C$3:$C$1000))*1,[1]OUT_TransportEnergyCons!G$3:G$1000)</f>
        <v>7.9891784524254925</v>
      </c>
      <c r="J1168" s="1" cm="1">
        <f t="array" ref="J1168">SUMPRODUCT(("T_C-ICE-GSL-S3"=[1]OUT_TransportEnergyCons!$A$3:$A$1000)*1,("Var_Fin"=[1]OUT_TransportEnergyCons!$B$3:$B$1000)*1,ISNUMBER(SEARCH("GSL",[1]OUT_TransportEnergyCons!$C$3:$C$1000))*1,[1]OUT_TransportEnergyCons!H$3:H$1000)</f>
        <v>7.36260126541258E-2</v>
      </c>
      <c r="K1168" s="1" cm="1">
        <f t="array" ref="K1168">SUMPRODUCT(("T_C-ICE-GSL-S3"=[1]OUT_TransportEnergyCons!$A$3:$A$1000)*1,("Var_Fin"=[1]OUT_TransportEnergyCons!$B$3:$B$1000)*1,ISNUMBER(SEARCH("GSL",[1]OUT_TransportEnergyCons!$C$3:$C$1000))*1,[1]OUT_TransportEnergyCons!I$3:I$1000)</f>
        <v>2.6729414051703718E-5</v>
      </c>
    </row>
    <row r="1169" spans="2:18" x14ac:dyDescent="0.35">
      <c r="B1169" s="5" t="str">
        <f t="shared" si="744"/>
        <v>SPS3</v>
      </c>
      <c r="C1169" s="5" t="str">
        <f t="shared" si="743"/>
        <v>CH</v>
      </c>
      <c r="D1169" t="s">
        <v>1272</v>
      </c>
      <c r="E1169" t="s">
        <v>8</v>
      </c>
      <c r="F1169" s="1" cm="1">
        <f t="array" ref="F1169">SUMPRODUCT(("T_C-ICE-GSL-S4"=[1]OUT_TransportEnergyCons!$A$3:$A$1000)*1,("Var_Fin"=[1]OUT_TransportEnergyCons!$B$3:$B$1000)*1,ISNUMBER(SEARCH("GSL",[1]OUT_TransportEnergyCons!$C$3:$C$1000))*1,[1]OUT_TransportEnergyCons!D$3:D$1000)</f>
        <v>3.4459892776075534</v>
      </c>
      <c r="G1169" s="1" cm="1">
        <f t="array" ref="G1169">SUMPRODUCT(("T_C-ICE-GSL-S4"=[1]OUT_TransportEnergyCons!$A$3:$A$1000)*1,("Var_Fin"=[1]OUT_TransportEnergyCons!$B$3:$B$1000)*1,ISNUMBER(SEARCH("GSL",[1]OUT_TransportEnergyCons!$C$3:$C$1000))*1,[1]OUT_TransportEnergyCons!E$3:E$1000)</f>
        <v>5.2740126101691551</v>
      </c>
      <c r="H1169" s="1" cm="1">
        <f t="array" ref="H1169">SUMPRODUCT(("T_C-ICE-GSL-S4"=[1]OUT_TransportEnergyCons!$A$3:$A$1000)*1,("Var_Fin"=[1]OUT_TransportEnergyCons!$B$3:$B$1000)*1,ISNUMBER(SEARCH("GSL",[1]OUT_TransportEnergyCons!$C$3:$C$1000))*1,[1]OUT_TransportEnergyCons!F$3:F$1000)</f>
        <v>8.2752137012461446</v>
      </c>
      <c r="I1169" s="1" cm="1">
        <f t="array" ref="I1169">SUMPRODUCT(("T_C-ICE-GSL-S4"=[1]OUT_TransportEnergyCons!$A$3:$A$1000)*1,("Var_Fin"=[1]OUT_TransportEnergyCons!$B$3:$B$1000)*1,ISNUMBER(SEARCH("GSL",[1]OUT_TransportEnergyCons!$C$3:$C$1000))*1,[1]OUT_TransportEnergyCons!G$3:G$1000)</f>
        <v>26.778313985818212</v>
      </c>
      <c r="J1169" s="1" cm="1">
        <f t="array" ref="J1169">SUMPRODUCT(("T_C-ICE-GSL-S4"=[1]OUT_TransportEnergyCons!$A$3:$A$1000)*1,("Var_Fin"=[1]OUT_TransportEnergyCons!$B$3:$B$1000)*1,ISNUMBER(SEARCH("GSL",[1]OUT_TransportEnergyCons!$C$3:$C$1000))*1,[1]OUT_TransportEnergyCons!H$3:H$1000)</f>
        <v>5.8274127212323883</v>
      </c>
      <c r="K1169" s="1" cm="1">
        <f t="array" ref="K1169">SUMPRODUCT(("T_C-ICE-GSL-S4"=[1]OUT_TransportEnergyCons!$A$3:$A$1000)*1,("Var_Fin"=[1]OUT_TransportEnergyCons!$B$3:$B$1000)*1,ISNUMBER(SEARCH("GSL",[1]OUT_TransportEnergyCons!$C$3:$C$1000))*1,[1]OUT_TransportEnergyCons!I$3:I$1000)</f>
        <v>3.2950430656673742E-5</v>
      </c>
    </row>
    <row r="1170" spans="2:18" x14ac:dyDescent="0.35">
      <c r="B1170" s="5" t="str">
        <f t="shared" si="744"/>
        <v>SPS3</v>
      </c>
      <c r="C1170" s="5" t="str">
        <f t="shared" si="743"/>
        <v>CH</v>
      </c>
      <c r="D1170" t="s">
        <v>1273</v>
      </c>
      <c r="E1170" t="s">
        <v>8</v>
      </c>
      <c r="F1170" s="1" cm="1">
        <f t="array" ref="F1170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0" s="1" cm="1">
        <f t="array" ref="G1170">SUMPRODUCT(("T_C-MHY-GSL-S1"=[1]OUT_TransportEnergyCons!$A$3:$A$1000)*1,("Var_Fin"=[1]OUT_TransportEnergyCons!$B$3:$B$1000)*1,ISNUMBER(SEARCH("GSL",[1]OUT_TransportEnergyCons!$C$3:$C$1000))*1,[1]OUT_TransportEnergyCons!E$3:E$1000)</f>
        <v>1.1740285333397692E-3</v>
      </c>
      <c r="H1170" s="1" cm="1">
        <f t="array" ref="H1170">SUMPRODUCT(("T_C-MHY-GSL-S1"=[1]OUT_TransportEnergyCons!$A$3:$A$1000)*1,("Var_Fin"=[1]OUT_TransportEnergyCons!$B$3:$B$1000)*1,ISNUMBER(SEARCH("GSL",[1]OUT_TransportEnergyCons!$C$3:$C$1000))*1,[1]OUT_TransportEnergyCons!F$3:F$1000)</f>
        <v>3.0232374199406554E-3</v>
      </c>
      <c r="I1170" s="1" cm="1">
        <f t="array" ref="I1170">SUMPRODUCT(("T_C-MHY-GSL-S1"=[1]OUT_TransportEnergyCons!$A$3:$A$1000)*1,("Var_Fin"=[1]OUT_TransportEnergyCons!$B$3:$B$1000)*1,ISNUMBER(SEARCH("GSL",[1]OUT_TransportEnergyCons!$C$3:$C$1000))*1,[1]OUT_TransportEnergyCons!G$3:G$1000)</f>
        <v>3.9893388061718726E-3</v>
      </c>
      <c r="J1170" s="1" cm="1">
        <f t="array" ref="J1170">SUMPRODUCT(("T_C-MHY-GSL-S1"=[1]OUT_TransportEnergyCons!$A$3:$A$1000)*1,("Var_Fin"=[1]OUT_TransportEnergyCons!$B$3:$B$1000)*1,ISNUMBER(SEARCH("GSL",[1]OUT_TransportEnergyCons!$C$3:$C$1000))*1,[1]OUT_TransportEnergyCons!H$3:H$1000)</f>
        <v>1.1750858800506196E-3</v>
      </c>
      <c r="K1170" s="1" cm="1">
        <f t="array" ref="K1170">SUMPRODUCT(("T_C-MHY-GSL-S1"=[1]OUT_TransportEnergyCons!$A$3:$A$1000)*1,("Var_Fin"=[1]OUT_TransportEnergyCons!$B$3:$B$1000)*1,ISNUMBER(SEARCH("GSL",[1]OUT_TransportEnergyCons!$C$3:$C$1000))*1,[1]OUT_TransportEnergyCons!I$3:I$1000)</f>
        <v>1.4699753946261095E-4</v>
      </c>
    </row>
    <row r="1171" spans="2:18" x14ac:dyDescent="0.35">
      <c r="B1171" s="5" t="str">
        <f t="shared" si="744"/>
        <v>SPS3</v>
      </c>
      <c r="C1171" s="5" t="str">
        <f t="shared" si="743"/>
        <v>CH</v>
      </c>
      <c r="D1171" t="s">
        <v>1274</v>
      </c>
      <c r="E1171" t="s">
        <v>8</v>
      </c>
      <c r="F1171" s="1" cm="1">
        <f t="array" ref="F1171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1" s="1" cm="1">
        <f t="array" ref="G1171">SUMPRODUCT(("T_C-MHY-GSL-S2"=[1]OUT_TransportEnergyCons!$A$3:$A$1000)*1,("Var_Fin"=[1]OUT_TransportEnergyCons!$B$3:$B$1000)*1,ISNUMBER(SEARCH("GSL",[1]OUT_TransportEnergyCons!$C$3:$C$1000))*1,[1]OUT_TransportEnergyCons!E$3:E$1000)</f>
        <v>1.0121361148290524E-3</v>
      </c>
      <c r="H1171" s="1" cm="1">
        <f t="array" ref="H1171">SUMPRODUCT(("T_C-MHY-GSL-S2"=[1]OUT_TransportEnergyCons!$A$3:$A$1000)*1,("Var_Fin"=[1]OUT_TransportEnergyCons!$B$3:$B$1000)*1,ISNUMBER(SEARCH("GSL",[1]OUT_TransportEnergyCons!$C$3:$C$1000))*1,[1]OUT_TransportEnergyCons!F$3:F$1000)</f>
        <v>2.8632842581306347E-3</v>
      </c>
      <c r="I1171" s="1" cm="1">
        <f t="array" ref="I1171">SUMPRODUCT(("T_C-MHY-GSL-S2"=[1]OUT_TransportEnergyCons!$A$3:$A$1000)*1,("Var_Fin"=[1]OUT_TransportEnergyCons!$B$3:$B$1000)*1,ISNUMBER(SEARCH("GSL",[1]OUT_TransportEnergyCons!$C$3:$C$1000))*1,[1]OUT_TransportEnergyCons!G$3:G$1000)</f>
        <v>4.2571799790907397E-3</v>
      </c>
      <c r="J1171" s="1" cm="1">
        <f t="array" ref="J1171">SUMPRODUCT(("T_C-MHY-GSL-S2"=[1]OUT_TransportEnergyCons!$A$3:$A$1000)*1,("Var_Fin"=[1]OUT_TransportEnergyCons!$B$3:$B$1000)*1,ISNUMBER(SEARCH("GSL",[1]OUT_TransportEnergyCons!$C$3:$C$1000))*1,[1]OUT_TransportEnergyCons!H$3:H$1000)</f>
        <v>1.2578638329910625E-3</v>
      </c>
      <c r="K1171" s="1" cm="1">
        <f t="array" ref="K1171">SUMPRODUCT(("T_C-MHY-GSL-S2"=[1]OUT_TransportEnergyCons!$A$3:$A$1000)*1,("Var_Fin"=[1]OUT_TransportEnergyCons!$B$3:$B$1000)*1,ISNUMBER(SEARCH("GSL",[1]OUT_TransportEnergyCons!$C$3:$C$1000))*1,[1]OUT_TransportEnergyCons!I$3:I$1000)</f>
        <v>1.2783232160016374E-4</v>
      </c>
    </row>
    <row r="1172" spans="2:18" x14ac:dyDescent="0.35">
      <c r="B1172" s="5" t="str">
        <f t="shared" si="744"/>
        <v>SPS3</v>
      </c>
      <c r="C1172" s="5" t="str">
        <f t="shared" si="743"/>
        <v>CH</v>
      </c>
      <c r="D1172" t="s">
        <v>1275</v>
      </c>
      <c r="E1172" t="s">
        <v>8</v>
      </c>
      <c r="F1172" s="1" cm="1">
        <f t="array" ref="F1172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SUMPRODUCT(("T_C-MHY-GSL-S3"=[1]OUT_TransportEnergyCons!$A$3:$A$1000)*1,("Var_Fin"=[1]OUT_TransportEnergyCons!$B$3:$B$1000)*1,ISNUMBER(SEARCH("GSL",[1]OUT_TransportEnergyCons!$C$3:$C$1000))*1,[1]OUT_TransportEnergyCons!E$3:E$1000)</f>
        <v>1.6345751994640701E-3</v>
      </c>
      <c r="H1172" s="1" cm="1">
        <f t="array" ref="H1172">SUMPRODUCT(("T_C-MHY-GSL-S3"=[1]OUT_TransportEnergyCons!$A$3:$A$1000)*1,("Var_Fin"=[1]OUT_TransportEnergyCons!$B$3:$B$1000)*1,ISNUMBER(SEARCH("GSL",[1]OUT_TransportEnergyCons!$C$3:$C$1000))*1,[1]OUT_TransportEnergyCons!F$3:F$1000)</f>
        <v>3.9356138933924895E-3</v>
      </c>
      <c r="I1172" s="1" cm="1">
        <f t="array" ref="I1172">SUMPRODUCT(("T_C-MHY-GSL-S3"=[1]OUT_TransportEnergyCons!$A$3:$A$1000)*1,("Var_Fin"=[1]OUT_TransportEnergyCons!$B$3:$B$1000)*1,ISNUMBER(SEARCH("GSL",[1]OUT_TransportEnergyCons!$C$3:$C$1000))*1,[1]OUT_TransportEnergyCons!G$3:G$1000)</f>
        <v>5.8418910071904098E-3</v>
      </c>
      <c r="J1172" s="1" cm="1">
        <f t="array" ref="J1172">SUMPRODUCT(("T_C-MHY-GSL-S3"=[1]OUT_TransportEnergyCons!$A$3:$A$1000)*1,("Var_Fin"=[1]OUT_TransportEnergyCons!$B$3:$B$1000)*1,ISNUMBER(SEARCH("GSL",[1]OUT_TransportEnergyCons!$C$3:$C$1000))*1,[1]OUT_TransportEnergyCons!H$3:H$1000)</f>
        <v>1.2991900698966744E-3</v>
      </c>
      <c r="K1172" s="1" cm="1">
        <f t="array" ref="K1172">SUMPRODUCT(("T_C-MHY-GSL-S3"=[1]OUT_TransportEnergyCons!$A$3:$A$1000)*1,("Var_Fin"=[1]OUT_TransportEnergyCons!$B$3:$B$1000)*1,ISNUMBER(SEARCH("GSL",[1]OUT_TransportEnergyCons!$C$3:$C$1000))*1,[1]OUT_TransportEnergyCons!I$3:I$1000)</f>
        <v>1.1533135779396504E-4</v>
      </c>
    </row>
    <row r="1173" spans="2:18" x14ac:dyDescent="0.35">
      <c r="B1173" s="5" t="str">
        <f t="shared" si="744"/>
        <v>SPS3</v>
      </c>
      <c r="C1173" s="5" t="str">
        <f t="shared" si="743"/>
        <v>CH</v>
      </c>
      <c r="D1173" t="s">
        <v>1276</v>
      </c>
      <c r="E1173" t="s">
        <v>8</v>
      </c>
      <c r="F1173" s="1" cm="1">
        <f t="array" ref="F1173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SUMPRODUCT(("T_C-MHY-GSL-S4"=[1]OUT_TransportEnergyCons!$A$3:$A$1000)*1,("Var_Fin"=[1]OUT_TransportEnergyCons!$B$3:$B$1000)*1,ISNUMBER(SEARCH("GSL",[1]OUT_TransportEnergyCons!$C$3:$C$1000))*1,[1]OUT_TransportEnergyCons!E$3:E$1000)</f>
        <v>2.4304118115539407E-3</v>
      </c>
      <c r="H1173" s="1" cm="1">
        <f t="array" ref="H1173">SUMPRODUCT(("T_C-MHY-GSL-S4"=[1]OUT_TransportEnergyCons!$A$3:$A$1000)*1,("Var_Fin"=[1]OUT_TransportEnergyCons!$B$3:$B$1000)*1,ISNUMBER(SEARCH("GSL",[1]OUT_TransportEnergyCons!$C$3:$C$1000))*1,[1]OUT_TransportEnergyCons!F$3:F$1000)</f>
        <v>5.5606672927832421E-3</v>
      </c>
      <c r="I1173" s="1" cm="1">
        <f t="array" ref="I1173">SUMPRODUCT(("T_C-MHY-GSL-S4"=[1]OUT_TransportEnergyCons!$A$3:$A$1000)*1,("Var_Fin"=[1]OUT_TransportEnergyCons!$B$3:$B$1000)*1,ISNUMBER(SEARCH("GSL",[1]OUT_TransportEnergyCons!$C$3:$C$1000))*1,[1]OUT_TransportEnergyCons!G$3:G$1000)</f>
        <v>9.4418432824636463E-3</v>
      </c>
      <c r="J1173" s="1" cm="1">
        <f t="array" ref="J1173">SUMPRODUCT(("T_C-MHY-GSL-S4"=[1]OUT_TransportEnergyCons!$A$3:$A$1000)*1,("Var_Fin"=[1]OUT_TransportEnergyCons!$B$3:$B$1000)*1,ISNUMBER(SEARCH("GSL",[1]OUT_TransportEnergyCons!$C$3:$C$1000))*1,[1]OUT_TransportEnergyCons!H$3:H$1000)</f>
        <v>2.2355009036019425E-3</v>
      </c>
      <c r="K1173" s="1" cm="1">
        <f t="array" ref="K1173">SUMPRODUCT(("T_C-MHY-GSL-S4"=[1]OUT_TransportEnergyCons!$A$3:$A$1000)*1,("Var_Fin"=[1]OUT_TransportEnergyCons!$B$3:$B$1000)*1,ISNUMBER(SEARCH("GSL",[1]OUT_TransportEnergyCons!$C$3:$C$1000))*1,[1]OUT_TransportEnergyCons!I$3:I$1000)</f>
        <v>1.64567955299793E-4</v>
      </c>
    </row>
    <row r="1174" spans="2:18" x14ac:dyDescent="0.35">
      <c r="B1174" s="5" t="str">
        <f t="shared" si="744"/>
        <v>SPS3</v>
      </c>
      <c r="C1174" s="5" t="str">
        <f t="shared" si="743"/>
        <v>CH</v>
      </c>
      <c r="D1174" t="s">
        <v>1277</v>
      </c>
      <c r="E1174" t="s">
        <v>8</v>
      </c>
      <c r="F1174" s="1" cm="1">
        <f t="array" ref="F1174">SUMPRODUCT(("T-Plg-GSL-mix_S1"=[1]OUT_TransportEnergyCons!$A$3:$A$1000)*1,("Var_Fin"=[1]OUT_TransportEnergyCons!$B$3:$B$1000)*1,ISNUMBER(SEARCH("GSL",[1]OUT_TransportEnergyCons!$C$3:$C$1000))*1,[1]OUT_TransportEnergyCons!D$3:D$1000)</f>
        <v>3.0423843821302497E-4</v>
      </c>
      <c r="G1174" s="1" cm="1">
        <f t="array" ref="G1174">SUMPRODUCT(("T-Plg-GSL-mix_S1"=[1]OUT_TransportEnergyCons!$A$3:$A$1000)*1,("Var_Fin"=[1]OUT_TransportEnergyCons!$B$3:$B$1000)*1,ISNUMBER(SEARCH("GSL",[1]OUT_TransportEnergyCons!$C$3:$C$1000))*1,[1]OUT_TransportEnergyCons!E$3:E$1000)</f>
        <v>1.4537041356703982E-3</v>
      </c>
      <c r="H1174" s="1" cm="1">
        <f t="array" ref="H1174">SUMPRODUCT(("T-Plg-GSL-mix_S1"=[1]OUT_TransportEnergyCons!$A$3:$A$1000)*1,("Var_Fin"=[1]OUT_TransportEnergyCons!$B$3:$B$1000)*1,ISNUMBER(SEARCH("GSL",[1]OUT_TransportEnergyCons!$C$3:$C$1000))*1,[1]OUT_TransportEnergyCons!F$3:F$1000)</f>
        <v>2.6408279407265892E-3</v>
      </c>
      <c r="I1174" s="1" cm="1">
        <f t="array" ref="I1174">SUMPRODUCT(("T-Plg-GSL-mix_S1"=[1]OUT_TransportEnergyCons!$A$3:$A$1000)*1,("Var_Fin"=[1]OUT_TransportEnergyCons!$B$3:$B$1000)*1,ISNUMBER(SEARCH("GSL",[1]OUT_TransportEnergyCons!$C$3:$C$1000))*1,[1]OUT_TransportEnergyCons!G$3:G$1000)</f>
        <v>2.6711566453618261E-3</v>
      </c>
      <c r="J1174" s="1" cm="1">
        <f t="array" ref="J1174">SUMPRODUCT(("T-Plg-GSL-mix_S1"=[1]OUT_TransportEnergyCons!$A$3:$A$1000)*1,("Var_Fin"=[1]OUT_TransportEnergyCons!$B$3:$B$1000)*1,ISNUMBER(SEARCH("GSL",[1]OUT_TransportEnergyCons!$C$3:$C$1000))*1,[1]OUT_TransportEnergyCons!H$3:H$1000)</f>
        <v>1.3710830730310787E-3</v>
      </c>
      <c r="K1174" s="1" cm="1">
        <f t="array" ref="K1174">SUMPRODUCT(("T-Plg-GSL-mix_S1"=[1]OUT_TransportEnergyCons!$A$3:$A$1000)*1,("Var_Fin"=[1]OUT_TransportEnergyCons!$B$3:$B$1000)*1,ISNUMBER(SEARCH("GSL",[1]OUT_TransportEnergyCons!$C$3:$C$1000))*1,[1]OUT_TransportEnergyCons!I$3:I$1000)</f>
        <v>3.5600642601406096E-4</v>
      </c>
    </row>
    <row r="1175" spans="2:18" x14ac:dyDescent="0.35">
      <c r="B1175" s="5" t="str">
        <f t="shared" si="744"/>
        <v>SPS3</v>
      </c>
      <c r="C1175" s="5" t="str">
        <f t="shared" si="743"/>
        <v>CH</v>
      </c>
      <c r="D1175" t="s">
        <v>1278</v>
      </c>
      <c r="E1175" t="s">
        <v>8</v>
      </c>
      <c r="F1175" s="1" cm="1">
        <f t="array" ref="F1175">SUMPRODUCT(("T-Plg-GSL-mix_S2"=[1]OUT_TransportEnergyCons!$A$3:$A$1000)*1,("Var_Fin"=[1]OUT_TransportEnergyCons!$B$3:$B$1000)*1,ISNUMBER(SEARCH("GSL",[1]OUT_TransportEnergyCons!$C$3:$C$1000))*1,[1]OUT_TransportEnergyCons!D$3:D$1000)</f>
        <v>7.3383159280012045E-2</v>
      </c>
      <c r="G1175" s="1" cm="1">
        <f t="array" ref="G1175">SUMPRODUCT(("T-Plg-GSL-mix_S2"=[1]OUT_TransportEnergyCons!$A$3:$A$1000)*1,("Var_Fin"=[1]OUT_TransportEnergyCons!$B$3:$B$1000)*1,ISNUMBER(SEARCH("GSL",[1]OUT_TransportEnergyCons!$C$3:$C$1000))*1,[1]OUT_TransportEnergyCons!E$3:E$1000)</f>
        <v>0.16728958410104511</v>
      </c>
      <c r="H1175" s="1" cm="1">
        <f t="array" ref="H1175">SUMPRODUCT(("T-Plg-GSL-mix_S2"=[1]OUT_TransportEnergyCons!$A$3:$A$1000)*1,("Var_Fin"=[1]OUT_TransportEnergyCons!$B$3:$B$1000)*1,ISNUMBER(SEARCH("GSL",[1]OUT_TransportEnergyCons!$C$3:$C$1000))*1,[1]OUT_TransportEnergyCons!F$3:F$1000)</f>
        <v>0.12080778483342</v>
      </c>
      <c r="I1175" s="1" cm="1">
        <f t="array" ref="I1175">SUMPRODUCT(("T-Plg-GSL-mix_S2"=[1]OUT_TransportEnergyCons!$A$3:$A$1000)*1,("Var_Fin"=[1]OUT_TransportEnergyCons!$B$3:$B$1000)*1,ISNUMBER(SEARCH("GSL",[1]OUT_TransportEnergyCons!$C$3:$C$1000))*1,[1]OUT_TransportEnergyCons!G$3:G$1000)</f>
        <v>9.393628738647844E-2</v>
      </c>
      <c r="J1175" s="1" cm="1">
        <f t="array" ref="J1175">SUMPRODUCT(("T-Plg-GSL-mix_S2"=[1]OUT_TransportEnergyCons!$A$3:$A$1000)*1,("Var_Fin"=[1]OUT_TransportEnergyCons!$B$3:$B$1000)*1,ISNUMBER(SEARCH("GSL",[1]OUT_TransportEnergyCons!$C$3:$C$1000))*1,[1]OUT_TransportEnergyCons!H$3:H$1000)</f>
        <v>4.2438739760821565E-3</v>
      </c>
      <c r="K1175" s="1" cm="1">
        <f t="array" ref="K1175">SUMPRODUCT(("T-Plg-GSL-mix_S2"=[1]OUT_TransportEnergyCons!$A$3:$A$1000)*1,("Var_Fin"=[1]OUT_TransportEnergyCons!$B$3:$B$1000)*1,ISNUMBER(SEARCH("GSL",[1]OUT_TransportEnergyCons!$C$3:$C$1000))*1,[1]OUT_TransportEnergyCons!I$3:I$1000)</f>
        <v>7.3746254119705422E-4</v>
      </c>
    </row>
    <row r="1176" spans="2:18" x14ac:dyDescent="0.35">
      <c r="B1176" s="5" t="str">
        <f t="shared" si="744"/>
        <v>SPS3</v>
      </c>
      <c r="C1176" s="5" t="str">
        <f t="shared" si="743"/>
        <v>CH</v>
      </c>
      <c r="D1176" t="s">
        <v>1279</v>
      </c>
      <c r="E1176" t="s">
        <v>8</v>
      </c>
      <c r="F1176" s="1" cm="1">
        <f t="array" ref="F1176">SUMPRODUCT(("T-Plg-GSL-mix_S3"=[1]OUT_TransportEnergyCons!$A$3:$A$1000)*1,("Var_Fin"=[1]OUT_TransportEnergyCons!$B$3:$B$1000)*1,ISNUMBER(SEARCH("GSL",[1]OUT_TransportEnergyCons!$C$3:$C$1000))*1,[1]OUT_TransportEnergyCons!D$3:D$1000)</f>
        <v>7.841613595735164E-2</v>
      </c>
      <c r="G1176" s="1" cm="1">
        <f t="array" ref="G1176">SUMPRODUCT(("T-Plg-GSL-mix_S3"=[1]OUT_TransportEnergyCons!$A$3:$A$1000)*1,("Var_Fin"=[1]OUT_TransportEnergyCons!$B$3:$B$1000)*1,ISNUMBER(SEARCH("GSL",[1]OUT_TransportEnergyCons!$C$3:$C$1000))*1,[1]OUT_TransportEnergyCons!E$3:E$1000)</f>
        <v>1.218746221917677</v>
      </c>
      <c r="H1176" s="1" cm="1">
        <f t="array" ref="H1176">SUMPRODUCT(("T-Plg-GSL-mix_S3"=[1]OUT_TransportEnergyCons!$A$3:$A$1000)*1,("Var_Fin"=[1]OUT_TransportEnergyCons!$B$3:$B$1000)*1,ISNUMBER(SEARCH("GSL",[1]OUT_TransportEnergyCons!$C$3:$C$1000))*1,[1]OUT_TransportEnergyCons!F$3:F$1000)</f>
        <v>1.7587082977329371</v>
      </c>
      <c r="I1176" s="1" cm="1">
        <f t="array" ref="I1176">SUMPRODUCT(("T-Plg-GSL-mix_S3"=[1]OUT_TransportEnergyCons!$A$3:$A$1000)*1,("Var_Fin"=[1]OUT_TransportEnergyCons!$B$3:$B$1000)*1,ISNUMBER(SEARCH("GSL",[1]OUT_TransportEnergyCons!$C$3:$C$1000))*1,[1]OUT_TransportEnergyCons!G$3:G$1000)</f>
        <v>1.3055640151286472</v>
      </c>
      <c r="J1176" s="1" cm="1">
        <f t="array" ref="J1176">SUMPRODUCT(("T-Plg-GSL-mix_S3"=[1]OUT_TransportEnergyCons!$A$3:$A$1000)*1,("Var_Fin"=[1]OUT_TransportEnergyCons!$B$3:$B$1000)*1,ISNUMBER(SEARCH("GSL",[1]OUT_TransportEnergyCons!$C$3:$C$1000))*1,[1]OUT_TransportEnergyCons!H$3:H$1000)</f>
        <v>3.1314641768293656</v>
      </c>
      <c r="K1176" s="1" cm="1">
        <f t="array" ref="K1176">SUMPRODUCT(("T-Plg-GSL-mix_S3"=[1]OUT_TransportEnergyCons!$A$3:$A$1000)*1,("Var_Fin"=[1]OUT_TransportEnergyCons!$B$3:$B$1000)*1,ISNUMBER(SEARCH("GSL",[1]OUT_TransportEnergyCons!$C$3:$C$1000))*1,[1]OUT_TransportEnergyCons!I$3:I$1000)</f>
        <v>0.4771033188522063</v>
      </c>
    </row>
    <row r="1177" spans="2:18" x14ac:dyDescent="0.35">
      <c r="B1177" s="5" t="str">
        <f t="shared" si="744"/>
        <v>SPS3</v>
      </c>
      <c r="C1177" s="5" t="str">
        <f t="shared" si="743"/>
        <v>CH</v>
      </c>
      <c r="D1177" t="s">
        <v>1280</v>
      </c>
      <c r="E1177" t="s">
        <v>8</v>
      </c>
      <c r="F1177" s="1" cm="1">
        <f t="array" ref="F1177">SUMPRODUCT(("T-Plg-GSL-mix_S4"=[1]OUT_TransportEnergyCons!$A$3:$A$1000)*1,("Var_Fin"=[1]OUT_TransportEnergyCons!$B$3:$B$1000)*1,ISNUMBER(SEARCH("GSL",[1]OUT_TransportEnergyCons!$C$3:$C$1000))*1,[1]OUT_TransportEnergyCons!D$3:D$1000)</f>
        <v>0.1663602701225996</v>
      </c>
      <c r="G1177" s="1" cm="1">
        <f t="array" ref="G1177">SUMPRODUCT(("T-Plg-GSL-mix_S4"=[1]OUT_TransportEnergyCons!$A$3:$A$1000)*1,("Var_Fin"=[1]OUT_TransportEnergyCons!$B$3:$B$1000)*1,ISNUMBER(SEARCH("GSL",[1]OUT_TransportEnergyCons!$C$3:$C$1000))*1,[1]OUT_TransportEnergyCons!E$3:E$1000)</f>
        <v>0.31433818093126908</v>
      </c>
      <c r="H1177" s="1" cm="1">
        <f t="array" ref="H1177">SUMPRODUCT(("T-Plg-GSL-mix_S4"=[1]OUT_TransportEnergyCons!$A$3:$A$1000)*1,("Var_Fin"=[1]OUT_TransportEnergyCons!$B$3:$B$1000)*1,ISNUMBER(SEARCH("GSL",[1]OUT_TransportEnergyCons!$C$3:$C$1000))*1,[1]OUT_TransportEnergyCons!F$3:F$1000)</f>
        <v>0.2988361752706104</v>
      </c>
      <c r="I1177" s="1" cm="1">
        <f t="array" ref="I1177">SUMPRODUCT(("T-Plg-GSL-mix_S4"=[1]OUT_TransportEnergyCons!$A$3:$A$1000)*1,("Var_Fin"=[1]OUT_TransportEnergyCons!$B$3:$B$1000)*1,ISNUMBER(SEARCH("GSL",[1]OUT_TransportEnergyCons!$C$3:$C$1000))*1,[1]OUT_TransportEnergyCons!G$3:G$1000)</f>
        <v>0.18485129485169241</v>
      </c>
      <c r="J1177" s="1" cm="1">
        <f t="array" ref="J1177">SUMPRODUCT(("T-Plg-GSL-mix_S4"=[1]OUT_TransportEnergyCons!$A$3:$A$1000)*1,("Var_Fin"=[1]OUT_TransportEnergyCons!$B$3:$B$1000)*1,ISNUMBER(SEARCH("GSL",[1]OUT_TransportEnergyCons!$C$3:$C$1000))*1,[1]OUT_TransportEnergyCons!H$3:H$1000)</f>
        <v>6.7086897071948204E-3</v>
      </c>
      <c r="K1177" s="1" cm="1">
        <f t="array" ref="K1177">SUMPRODUCT(("T-Plg-GSL-mix_S4"=[1]OUT_TransportEnergyCons!$A$3:$A$1000)*1,("Var_Fin"=[1]OUT_TransportEnergyCons!$B$3:$B$1000)*1,ISNUMBER(SEARCH("GSL",[1]OUT_TransportEnergyCons!$C$3:$C$1000))*1,[1]OUT_TransportEnergyCons!I$3:I$1000)</f>
        <v>1.0892326952572629E-3</v>
      </c>
    </row>
    <row r="1178" spans="2:18" x14ac:dyDescent="0.35">
      <c r="B1178" s="5" t="str">
        <f t="shared" si="744"/>
        <v>SPS3</v>
      </c>
      <c r="C1178" s="5" t="str">
        <f t="shared" si="743"/>
        <v>CH</v>
      </c>
      <c r="D1178" t="s">
        <v>1281</v>
      </c>
      <c r="E1178" t="s">
        <v>8</v>
      </c>
      <c r="F1178" s="1">
        <f>SUM(F1183:F1200)</f>
        <v>62.279725445494897</v>
      </c>
      <c r="G1178" s="1">
        <f t="shared" ref="G1178:K1178" si="754">SUM(G1183:G1200)</f>
        <v>58.333422371599298</v>
      </c>
      <c r="H1178" s="1">
        <f t="shared" si="754"/>
        <v>46.654310604798795</v>
      </c>
      <c r="I1178" s="1">
        <f t="shared" si="754"/>
        <v>32.610284123865483</v>
      </c>
      <c r="J1178" s="1">
        <f t="shared" si="754"/>
        <v>6.6614943276542489</v>
      </c>
      <c r="K1178" s="1">
        <f t="shared" si="754"/>
        <v>0.33131056379428897</v>
      </c>
    </row>
    <row r="1179" spans="2:18" x14ac:dyDescent="0.35">
      <c r="B1179" s="5" t="str">
        <f t="shared" si="744"/>
        <v>SPS3</v>
      </c>
      <c r="C1179" s="5" t="str">
        <f>C1178</f>
        <v>CH</v>
      </c>
      <c r="D1179" t="s">
        <v>1282</v>
      </c>
      <c r="E1179" t="str">
        <f>E1178</f>
        <v>PJ/yr.</v>
      </c>
      <c r="F1179" s="1">
        <f>F1178-F1180</f>
        <v>60.755847312955368</v>
      </c>
      <c r="G1179" s="1">
        <f t="shared" ref="G1179:K1179" si="755">G1178-G1180</f>
        <v>56.813214782971336</v>
      </c>
      <c r="H1179" s="1">
        <f t="shared" si="755"/>
        <v>44.79890834677748</v>
      </c>
      <c r="I1179" s="1">
        <f t="shared" si="755"/>
        <v>31.558634086138834</v>
      </c>
      <c r="J1179" s="1">
        <f t="shared" si="755"/>
        <v>1.7649318874836517</v>
      </c>
      <c r="K1179" s="1">
        <f t="shared" si="755"/>
        <v>-0.46248623260269189</v>
      </c>
    </row>
    <row r="1180" spans="2:18" x14ac:dyDescent="0.35">
      <c r="B1180" s="5" t="str">
        <f t="shared" si="744"/>
        <v>SPS3</v>
      </c>
      <c r="C1180" s="5" t="str">
        <f t="shared" ref="C1180:C1182" si="756">C1179</f>
        <v>CH</v>
      </c>
      <c r="D1180" t="s">
        <v>1283</v>
      </c>
      <c r="E1180" t="str">
        <f t="shared" ref="E1180:E1182" si="757">E1179</f>
        <v>PJ/yr.</v>
      </c>
      <c r="F1180" s="1">
        <f>SUM(F1181:F1182)</f>
        <v>1.523878132539527</v>
      </c>
      <c r="G1180" s="1">
        <f t="shared" ref="G1180" si="758">SUM(G1181:G1182)</f>
        <v>1.52020758862796</v>
      </c>
      <c r="H1180" s="1">
        <f t="shared" ref="H1180" si="759">SUM(H1181:H1182)</f>
        <v>1.8554022580213179</v>
      </c>
      <c r="I1180" s="1">
        <f t="shared" ref="I1180" si="760">SUM(I1181:I1182)</f>
        <v>1.0516500377266484</v>
      </c>
      <c r="J1180" s="1">
        <f t="shared" ref="J1180" si="761">SUM(J1181:J1182)</f>
        <v>4.8965624401705972</v>
      </c>
      <c r="K1180" s="1">
        <f t="shared" ref="K1180" si="762">SUM(K1181:K1182)</f>
        <v>0.79379679639698086</v>
      </c>
    </row>
    <row r="1181" spans="2:18" x14ac:dyDescent="0.35">
      <c r="B1181" s="5" t="str">
        <f t="shared" si="744"/>
        <v>SPS3</v>
      </c>
      <c r="C1181" s="5" t="str">
        <f t="shared" si="756"/>
        <v>CH</v>
      </c>
      <c r="D1181" t="s">
        <v>1284</v>
      </c>
      <c r="E1181" t="str">
        <f t="shared" si="757"/>
        <v>PJ/yr.</v>
      </c>
      <c r="F1181" s="1">
        <f>[1]Transport!B$26/SUM([1]Transport!B$22,[1]Transport!B$26)*F1178*(F$33+F$580)/(F$33+F$580+F$36)</f>
        <v>1.523878132539527</v>
      </c>
      <c r="G1181" s="1">
        <f>[1]Transport!C$26/SUM([1]Transport!C$22,[1]Transport!C$26)*G1178*(G$33+G$580)/(G$33+G$580+G$36)</f>
        <v>1.52020758862796</v>
      </c>
      <c r="H1181" s="1">
        <f>[1]Transport!D$26/SUM([1]Transport!D$22,[1]Transport!D$26)*H1178*(H$33+H$580)/(H$33+H$580+H$36)</f>
        <v>1.8554022580213179</v>
      </c>
      <c r="I1181" s="1">
        <f>[1]Transport!E$26/SUM([1]Transport!E$22,[1]Transport!E$26)*I1178*(I$33+I$580)/(I$33+I$580+I$36)</f>
        <v>1.0516500377266484</v>
      </c>
      <c r="J1181" s="1">
        <f>[1]Transport!F$26/SUM([1]Transport!F$22,[1]Transport!F$26)*J1178*(J$33+J$580)/(J$33+J$580+J$36)</f>
        <v>8.0782372635470029E-2</v>
      </c>
      <c r="K1181" s="1">
        <f>[1]Transport!G$26/SUM([1]Transport!G$22,[1]Transport!G$26)*K1178*(K$33+K$580)/(K$33+K$580+K$36)</f>
        <v>0.12514923913583939</v>
      </c>
    </row>
    <row r="1182" spans="2:18" x14ac:dyDescent="0.35">
      <c r="B1182" s="5" t="str">
        <f t="shared" si="744"/>
        <v>SPS3</v>
      </c>
      <c r="C1182" s="5" t="str">
        <f t="shared" si="756"/>
        <v>CH</v>
      </c>
      <c r="D1182" t="s">
        <v>1285</v>
      </c>
      <c r="E1182" t="str">
        <f t="shared" si="757"/>
        <v>PJ/yr.</v>
      </c>
      <c r="F1182" s="1">
        <f>(F$36+F$716)/([1]Transport!B$22+[1]Transport!B$26)*F1178</f>
        <v>0</v>
      </c>
      <c r="G1182" s="1">
        <f>(G$36+G$716)/([1]Transport!C$22+[1]Transport!C$26)*G1178</f>
        <v>0</v>
      </c>
      <c r="H1182" s="1">
        <f>(H$36+H$716)/([1]Transport!D$22+[1]Transport!D$26)*H1178</f>
        <v>0</v>
      </c>
      <c r="I1182" s="1">
        <f>(I$36+I$716)/([1]Transport!E$22+[1]Transport!E$26)*I1178</f>
        <v>0</v>
      </c>
      <c r="J1182" s="1">
        <f>(J$36+J$716)/([1]Transport!F$22+[1]Transport!F$26)*J1178</f>
        <v>4.815780067535127</v>
      </c>
      <c r="K1182" s="1">
        <f>(K$36+K$716)/([1]Transport!G$22+[1]Transport!G$26)*K1178</f>
        <v>0.66864755726114145</v>
      </c>
      <c r="M1182" s="1"/>
      <c r="N1182" s="1"/>
      <c r="O1182" s="1"/>
      <c r="P1182" s="1"/>
      <c r="Q1182" s="1"/>
      <c r="R1182" s="1"/>
    </row>
    <row r="1183" spans="2:18" x14ac:dyDescent="0.35">
      <c r="B1183" s="5" t="str">
        <f t="shared" si="744"/>
        <v>SPS3</v>
      </c>
      <c r="C1183" s="5" t="str">
        <f>C1178</f>
        <v>CH</v>
      </c>
      <c r="D1183" t="s">
        <v>1286</v>
      </c>
      <c r="E1183" t="s">
        <v>8</v>
      </c>
      <c r="F1183" s="1" cm="1">
        <f t="array" ref="F1183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3" s="1" cm="1">
        <f t="array" ref="G1183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3" s="1" cm="1">
        <f t="array" ref="H1183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3" s="1" cm="1">
        <f t="array" ref="I1183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3" s="1" cm="1">
        <f t="array" ref="J1183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3" s="1" cm="1">
        <f t="array" ref="K1183">SUMPRODUCT(("T_C-HYBDSLEXT"=[1]OUT_TransportEnergyCons!$A$3:$A$1000)*1,("Var_Fin"=[1]OUT_TransportEnergyCons!$B$3:$B$1000)*1,ISNUMBER(SEARCH("DSL",[1]OUT_TransportEnergyCons!$C$3:$C$1000))*1,[1]OUT_TransportEnergyCons!I$3:I$1000)</f>
        <v>0</v>
      </c>
    </row>
    <row r="1184" spans="2:18" x14ac:dyDescent="0.35">
      <c r="B1184" s="5" t="str">
        <f t="shared" si="744"/>
        <v>SPS3</v>
      </c>
      <c r="C1184" s="5" t="str">
        <f t="shared" si="743"/>
        <v>CH</v>
      </c>
      <c r="D1184" t="s">
        <v>1287</v>
      </c>
      <c r="E1184" t="s">
        <v>8</v>
      </c>
      <c r="F1184" s="1" cm="1">
        <f t="array" ref="F1184">SUMPRODUCT(("T_C-HY-DSL-S1"=[1]OUT_TransportEnergyCons!$A$3:$A$1000)*1,("Var_Fin"=[1]OUT_TransportEnergyCons!$B$3:$B$1000)*1,ISNUMBER(SEARCH("DSL",[1]OUT_TransportEnergyCons!$C$3:$C$1000))*1,[1]OUT_TransportEnergyCons!D$3:D$1000)</f>
        <v>3.3681067416746798E-5</v>
      </c>
      <c r="G1184" s="1" cm="1">
        <f t="array" ref="G1184">SUMPRODUCT(("T_C-HY-DSL-S1"=[1]OUT_TransportEnergyCons!$A$3:$A$1000)*1,("Var_Fin"=[1]OUT_TransportEnergyCons!$B$3:$B$1000)*1,ISNUMBER(SEARCH("DSL",[1]OUT_TransportEnergyCons!$C$3:$C$1000))*1,[1]OUT_TransportEnergyCons!E$3:E$1000)</f>
        <v>0.23064813993621552</v>
      </c>
      <c r="H1184" s="1" cm="1">
        <f t="array" ref="H1184">SUMPRODUCT(("T_C-HY-DSL-S1"=[1]OUT_TransportEnergyCons!$A$3:$A$1000)*1,("Var_Fin"=[1]OUT_TransportEnergyCons!$B$3:$B$1000)*1,ISNUMBER(SEARCH("DSL",[1]OUT_TransportEnergyCons!$C$3:$C$1000))*1,[1]OUT_TransportEnergyCons!F$3:F$1000)</f>
        <v>0.17507490461332678</v>
      </c>
      <c r="I1184" s="1" cm="1">
        <f t="array" ref="I1184">SUMPRODUCT(("T_C-HY-DSL-S1"=[1]OUT_TransportEnergyCons!$A$3:$A$1000)*1,("Var_Fin"=[1]OUT_TransportEnergyCons!$B$3:$B$1000)*1,ISNUMBER(SEARCH("DSL",[1]OUT_TransportEnergyCons!$C$3:$C$1000))*1,[1]OUT_TransportEnergyCons!G$3:G$1000)</f>
        <v>0.21123981694114038</v>
      </c>
      <c r="J1184" s="1" cm="1">
        <f t="array" ref="J1184">SUMPRODUCT(("T_C-HY-DSL-S1"=[1]OUT_TransportEnergyCons!$A$3:$A$1000)*1,("Var_Fin"=[1]OUT_TransportEnergyCons!$B$3:$B$1000)*1,ISNUMBER(SEARCH("DSL",[1]OUT_TransportEnergyCons!$C$3:$C$1000))*1,[1]OUT_TransportEnergyCons!H$3:H$1000)</f>
        <v>0.71696775181109851</v>
      </c>
      <c r="K1184" s="1" cm="1">
        <f t="array" ref="K1184">SUMPRODUCT(("T_C-HY-DSL-S1"=[1]OUT_TransportEnergyCons!$A$3:$A$1000)*1,("Var_Fin"=[1]OUT_TransportEnergyCons!$B$3:$B$1000)*1,ISNUMBER(SEARCH("DSL",[1]OUT_TransportEnergyCons!$C$3:$C$1000))*1,[1]OUT_TransportEnergyCons!I$3:I$1000)</f>
        <v>1.0839245867754162E-4</v>
      </c>
      <c r="R1184" s="1"/>
    </row>
    <row r="1185" spans="2:11" x14ac:dyDescent="0.35">
      <c r="B1185" s="5" t="str">
        <f t="shared" si="744"/>
        <v>SPS3</v>
      </c>
      <c r="C1185" s="5" t="str">
        <f t="shared" si="743"/>
        <v>CH</v>
      </c>
      <c r="D1185" t="s">
        <v>1288</v>
      </c>
      <c r="E1185" t="s">
        <v>8</v>
      </c>
      <c r="F1185" s="1" cm="1">
        <f t="array" ref="F1185">SUMPRODUCT(("T_C-HY-DSL-S2"=[1]OUT_TransportEnergyCons!$A$3:$A$1000)*1,("Var_Fin"=[1]OUT_TransportEnergyCons!$B$3:$B$1000)*1,ISNUMBER(SEARCH("DSL",[1]OUT_TransportEnergyCons!$C$3:$C$1000))*1,[1]OUT_TransportEnergyCons!D$3:D$1000)</f>
        <v>2.6695497449902308E-3</v>
      </c>
      <c r="G1185" s="1" cm="1">
        <f t="array" ref="G1185">SUMPRODUCT(("T_C-HY-DSL-S2"=[1]OUT_TransportEnergyCons!$A$3:$A$1000)*1,("Var_Fin"=[1]OUT_TransportEnergyCons!$B$3:$B$1000)*1,ISNUMBER(SEARCH("DSL",[1]OUT_TransportEnergyCons!$C$3:$C$1000))*1,[1]OUT_TransportEnergyCons!E$3:E$1000)</f>
        <v>0.40492635477871086</v>
      </c>
      <c r="H1185" s="1" cm="1">
        <f t="array" ref="H1185">SUMPRODUCT(("T_C-HY-DSL-S2"=[1]OUT_TransportEnergyCons!$A$3:$A$1000)*1,("Var_Fin"=[1]OUT_TransportEnergyCons!$B$3:$B$1000)*1,ISNUMBER(SEARCH("DSL",[1]OUT_TransportEnergyCons!$C$3:$C$1000))*1,[1]OUT_TransportEnergyCons!F$3:F$1000)</f>
        <v>1.1820846667334399</v>
      </c>
      <c r="I1185" s="1" cm="1">
        <f t="array" ref="I1185">SUMPRODUCT(("T_C-HY-DSL-S2"=[1]OUT_TransportEnergyCons!$A$3:$A$1000)*1,("Var_Fin"=[1]OUT_TransportEnergyCons!$B$3:$B$1000)*1,ISNUMBER(SEARCH("DSL",[1]OUT_TransportEnergyCons!$C$3:$C$1000))*1,[1]OUT_TransportEnergyCons!G$3:G$1000)</f>
        <v>5.9407984440693848</v>
      </c>
      <c r="J1185" s="1" cm="1">
        <f t="array" ref="J1185">SUMPRODUCT(("T_C-HY-DSL-S2"=[1]OUT_TransportEnergyCons!$A$3:$A$1000)*1,("Var_Fin"=[1]OUT_TransportEnergyCons!$B$3:$B$1000)*1,ISNUMBER(SEARCH("DSL",[1]OUT_TransportEnergyCons!$C$3:$C$1000))*1,[1]OUT_TransportEnergyCons!H$3:H$1000)</f>
        <v>2.4469137987961234</v>
      </c>
      <c r="K1185" s="1" cm="1">
        <f t="array" ref="K1185">SUMPRODUCT(("T_C-HY-DSL-S2"=[1]OUT_TransportEnergyCons!$A$3:$A$1000)*1,("Var_Fin"=[1]OUT_TransportEnergyCons!$B$3:$B$1000)*1,ISNUMBER(SEARCH("DSL",[1]OUT_TransportEnergyCons!$C$3:$C$1000))*1,[1]OUT_TransportEnergyCons!I$3:I$1000)</f>
        <v>1.1515107696407821E-4</v>
      </c>
    </row>
    <row r="1186" spans="2:11" x14ac:dyDescent="0.35">
      <c r="B1186" s="5" t="str">
        <f t="shared" si="744"/>
        <v>SPS3</v>
      </c>
      <c r="C1186" s="5" t="str">
        <f t="shared" si="743"/>
        <v>CH</v>
      </c>
      <c r="D1186" t="s">
        <v>1289</v>
      </c>
      <c r="E1186" t="s">
        <v>8</v>
      </c>
      <c r="F1186" s="1" cm="1">
        <f t="array" ref="F1186">SUMPRODUCT(("T_C-HY-DSL-S3"=[1]OUT_TransportEnergyCons!$A$3:$A$1000)*1,("Var_Fin"=[1]OUT_TransportEnergyCons!$B$3:$B$1000)*1,ISNUMBER(SEARCH("DSL",[1]OUT_TransportEnergyCons!$C$3:$C$1000))*1,[1]OUT_TransportEnergyCons!D$3:D$1000)</f>
        <v>2.7419868768091299E-2</v>
      </c>
      <c r="G1186" s="1" cm="1">
        <f t="array" ref="G1186">SUMPRODUCT(("T_C-HY-DSL-S3"=[1]OUT_TransportEnergyCons!$A$3:$A$1000)*1,("Var_Fin"=[1]OUT_TransportEnergyCons!$B$3:$B$1000)*1,ISNUMBER(SEARCH("DSL",[1]OUT_TransportEnergyCons!$C$3:$C$1000))*1,[1]OUT_TransportEnergyCons!E$3:E$1000)</f>
        <v>4.6978617052845791E-2</v>
      </c>
      <c r="H1186" s="1" cm="1">
        <f t="array" ref="H1186">SUMPRODUCT(("T_C-HY-DSL-S3"=[1]OUT_TransportEnergyCons!$A$3:$A$1000)*1,("Var_Fin"=[1]OUT_TransportEnergyCons!$B$3:$B$1000)*1,ISNUMBER(SEARCH("DSL",[1]OUT_TransportEnergyCons!$C$3:$C$1000))*1,[1]OUT_TransportEnergyCons!F$3:F$1000)</f>
        <v>4.5617951420286525E-2</v>
      </c>
      <c r="I1186" s="1" cm="1">
        <f t="array" ref="I1186">SUMPRODUCT(("T_C-HY-DSL-S3"=[1]OUT_TransportEnergyCons!$A$3:$A$1000)*1,("Var_Fin"=[1]OUT_TransportEnergyCons!$B$3:$B$1000)*1,ISNUMBER(SEARCH("DSL",[1]OUT_TransportEnergyCons!$C$3:$C$1000))*1,[1]OUT_TransportEnergyCons!G$3:G$1000)</f>
        <v>3.5964637673220286E-2</v>
      </c>
      <c r="J1186" s="1" cm="1">
        <f t="array" ref="J1186">SUMPRODUCT(("T_C-HY-DSL-S3"=[1]OUT_TransportEnergyCons!$A$3:$A$1000)*1,("Var_Fin"=[1]OUT_TransportEnergyCons!$B$3:$B$1000)*1,ISNUMBER(SEARCH("DSL",[1]OUT_TransportEnergyCons!$C$3:$C$1000))*1,[1]OUT_TransportEnergyCons!H$3:H$1000)</f>
        <v>1.2300166862450441E-3</v>
      </c>
      <c r="K1186" s="1" cm="1">
        <f t="array" ref="K1186">SUMPRODUCT(("T_C-HY-DSL-S3"=[1]OUT_TransportEnergyCons!$A$3:$A$1000)*1,("Var_Fin"=[1]OUT_TransportEnergyCons!$B$3:$B$1000)*1,ISNUMBER(SEARCH("DSL",[1]OUT_TransportEnergyCons!$C$3:$C$1000))*1,[1]OUT_TransportEnergyCons!I$3:I$1000)</f>
        <v>1.0804811853466928E-4</v>
      </c>
    </row>
    <row r="1187" spans="2:11" x14ac:dyDescent="0.35">
      <c r="B1187" s="5" t="str">
        <f t="shared" si="744"/>
        <v>SPS3</v>
      </c>
      <c r="C1187" s="5" t="str">
        <f t="shared" si="743"/>
        <v>CH</v>
      </c>
      <c r="D1187" t="s">
        <v>1290</v>
      </c>
      <c r="E1187" t="s">
        <v>8</v>
      </c>
      <c r="F1187" s="1" cm="1">
        <f t="array" ref="F1187">SUMPRODUCT(("T_C-HY-DSL-S4"=[1]OUT_TransportEnergyCons!$A$3:$A$1000)*1,("Var_Fin"=[1]OUT_TransportEnergyCons!$B$3:$B$1000)*1,ISNUMBER(SEARCH("DSL",[1]OUT_TransportEnergyCons!$C$3:$C$1000))*1,[1]OUT_TransportEnergyCons!D$3:D$1000)</f>
        <v>3.5151871252183609E-2</v>
      </c>
      <c r="G1187" s="1" cm="1">
        <f t="array" ref="G1187">SUMPRODUCT(("T_C-HY-DSL-S4"=[1]OUT_TransportEnergyCons!$A$3:$A$1000)*1,("Var_Fin"=[1]OUT_TransportEnergyCons!$B$3:$B$1000)*1,ISNUMBER(SEARCH("DSL",[1]OUT_TransportEnergyCons!$C$3:$C$1000))*1,[1]OUT_TransportEnergyCons!E$3:E$1000)</f>
        <v>7.3781013634712289E-2</v>
      </c>
      <c r="H1187" s="1" cm="1">
        <f t="array" ref="H1187">SUMPRODUCT(("T_C-HY-DSL-S4"=[1]OUT_TransportEnergyCons!$A$3:$A$1000)*1,("Var_Fin"=[1]OUT_TransportEnergyCons!$B$3:$B$1000)*1,ISNUMBER(SEARCH("DSL",[1]OUT_TransportEnergyCons!$C$3:$C$1000))*1,[1]OUT_TransportEnergyCons!F$3:F$1000)</f>
        <v>7.0552350713786419E-2</v>
      </c>
      <c r="I1187" s="1" cm="1">
        <f t="array" ref="I1187">SUMPRODUCT(("T_C-HY-DSL-S4"=[1]OUT_TransportEnergyCons!$A$3:$A$1000)*1,("Var_Fin"=[1]OUT_TransportEnergyCons!$B$3:$B$1000)*1,ISNUMBER(SEARCH("DSL",[1]OUT_TransportEnergyCons!$C$3:$C$1000))*1,[1]OUT_TransportEnergyCons!G$3:G$1000)</f>
        <v>5.9634269727874327E-2</v>
      </c>
      <c r="J1187" s="1" cm="1">
        <f t="array" ref="J1187">SUMPRODUCT(("T_C-HY-DSL-S4"=[1]OUT_TransportEnergyCons!$A$3:$A$1000)*1,("Var_Fin"=[1]OUT_TransportEnergyCons!$B$3:$B$1000)*1,ISNUMBER(SEARCH("DSL",[1]OUT_TransportEnergyCons!$C$3:$C$1000))*1,[1]OUT_TransportEnergyCons!H$3:H$1000)</f>
        <v>1.5021239752833263E-3</v>
      </c>
      <c r="K1187" s="1" cm="1">
        <f t="array" ref="K1187">SUMPRODUCT(("T_C-HY-DSL-S4"=[1]OUT_TransportEnergyCons!$A$3:$A$1000)*1,("Var_Fin"=[1]OUT_TransportEnergyCons!$B$3:$B$1000)*1,ISNUMBER(SEARCH("DSL",[1]OUT_TransportEnergyCons!$C$3:$C$1000))*1,[1]OUT_TransportEnergyCons!I$3:I$1000)</f>
        <v>1.4345926070283256E-4</v>
      </c>
    </row>
    <row r="1188" spans="2:11" x14ac:dyDescent="0.35">
      <c r="B1188" s="5" t="str">
        <f t="shared" si="744"/>
        <v>SPS3</v>
      </c>
      <c r="C1188" s="5" t="str">
        <f t="shared" si="743"/>
        <v>CH</v>
      </c>
      <c r="D1188" t="s">
        <v>1291</v>
      </c>
      <c r="E1188" t="s">
        <v>8</v>
      </c>
      <c r="F1188" s="1" cm="1">
        <f t="array" ref="F1188">SUMPRODUCT(("T_C-ICEDSLEXT"=[1]OUT_TransportEnergyCons!$A$3:$A$1000)*1,("Var_Fin"=[1]OUT_TransportEnergyCons!$B$3:$B$1000)*1,ISNUMBER(SEARCH("DSL",[1]OUT_TransportEnergyCons!$C$3:$C$1000))*1,[1]OUT_TransportEnergyCons!D$3:D$1000)</f>
        <v>54.59428213407972</v>
      </c>
      <c r="G1188" s="1" cm="1">
        <f t="array" ref="G1188">SUMPRODUCT(("T_C-ICEDSLEXT"=[1]OUT_TransportEnergyCons!$A$3:$A$1000)*1,("Var_Fin"=[1]OUT_TransportEnergyCons!$B$3:$B$1000)*1,ISNUMBER(SEARCH("DSL",[1]OUT_TransportEnergyCons!$C$3:$C$1000))*1,[1]OUT_TransportEnergyCons!E$3:E$1000)</f>
        <v>48.700921020702424</v>
      </c>
      <c r="H1188" s="1" cm="1">
        <f t="array" ref="H1188">SUMPRODUCT(("T_C-ICEDSLEXT"=[1]OUT_TransportEnergyCons!$A$3:$A$1000)*1,("Var_Fin"=[1]OUT_TransportEnergyCons!$B$3:$B$1000)*1,ISNUMBER(SEARCH("DSL",[1]OUT_TransportEnergyCons!$C$3:$C$1000))*1,[1]OUT_TransportEnergyCons!F$3:F$1000)</f>
        <v>35.237206324661393</v>
      </c>
      <c r="I1188" s="1" cm="1">
        <f t="array" ref="I1188">SUMPRODUCT(("T_C-ICEDSLEXT"=[1]OUT_TransportEnergyCons!$A$3:$A$1000)*1,("Var_Fin"=[1]OUT_TransportEnergyCons!$B$3:$B$1000)*1,ISNUMBER(SEARCH("DSL",[1]OUT_TransportEnergyCons!$C$3:$C$1000))*1,[1]OUT_TransportEnergyCons!G$3:G$1000)</f>
        <v>16.03205486337481</v>
      </c>
      <c r="J1188" s="1" cm="1">
        <f t="array" ref="J1188">SUMPRODUCT(("T_C-ICEDSLEXT"=[1]OUT_TransportEnergyCons!$A$3:$A$1000)*1,("Var_Fin"=[1]OUT_TransportEnergyCons!$B$3:$B$1000)*1,ISNUMBER(SEARCH("DSL",[1]OUT_TransportEnergyCons!$C$3:$C$1000))*1,[1]OUT_TransportEnergyCons!H$3:H$1000)</f>
        <v>0</v>
      </c>
      <c r="K1188" s="1" cm="1">
        <f t="array" ref="K1188">SUMPRODUCT(("T_C-ICEDSLEXT"=[1]OUT_TransportEnergyCons!$A$3:$A$1000)*1,("Var_Fin"=[1]OUT_TransportEnergyCons!$B$3:$B$1000)*1,ISNUMBER(SEARCH("DSL",[1]OUT_TransportEnergyCons!$C$3:$C$1000))*1,[1]OUT_TransportEnergyCons!I$3:I$1000)</f>
        <v>0</v>
      </c>
    </row>
    <row r="1189" spans="2:11" x14ac:dyDescent="0.35">
      <c r="B1189" s="5" t="str">
        <f t="shared" si="744"/>
        <v>SPS3</v>
      </c>
      <c r="C1189" s="5" t="str">
        <f t="shared" si="743"/>
        <v>CH</v>
      </c>
      <c r="D1189" t="s">
        <v>1292</v>
      </c>
      <c r="E1189" t="s">
        <v>8</v>
      </c>
      <c r="F1189" s="1" cm="1">
        <f t="array" ref="F1189">SUMPRODUCT(("T_C-ICE-DSL-S1"=[1]OUT_TransportEnergyCons!$A$3:$A$1000)*1,("Var_Fin"=[1]OUT_TransportEnergyCons!$B$3:$B$1000)*1,ISNUMBER(SEARCH("DSL",[1]OUT_TransportEnergyCons!$C$3:$C$1000))*1,[1]OUT_TransportEnergyCons!D$3:D$1000)</f>
        <v>5.129132637939406E-3</v>
      </c>
      <c r="G1189" s="1" cm="1">
        <f t="array" ref="G1189">SUMPRODUCT(("T_C-ICE-DSL-S1"=[1]OUT_TransportEnergyCons!$A$3:$A$1000)*1,("Var_Fin"=[1]OUT_TransportEnergyCons!$B$3:$B$1000)*1,ISNUMBER(SEARCH("DSL",[1]OUT_TransportEnergyCons!$C$3:$C$1000))*1,[1]OUT_TransportEnergyCons!E$3:E$1000)</f>
        <v>5.5421563030637767E-3</v>
      </c>
      <c r="H1189" s="1" cm="1">
        <f t="array" ref="H1189">SUMPRODUCT(("T_C-ICE-DSL-S1"=[1]OUT_TransportEnergyCons!$A$3:$A$1000)*1,("Var_Fin"=[1]OUT_TransportEnergyCons!$B$3:$B$1000)*1,ISNUMBER(SEARCH("DSL",[1]OUT_TransportEnergyCons!$C$3:$C$1000))*1,[1]OUT_TransportEnergyCons!F$3:F$1000)</f>
        <v>6.6116994646436208E-3</v>
      </c>
      <c r="I1189" s="1" cm="1">
        <f t="array" ref="I1189">SUMPRODUCT(("T_C-ICE-DSL-S1"=[1]OUT_TransportEnergyCons!$A$3:$A$1000)*1,("Var_Fin"=[1]OUT_TransportEnergyCons!$B$3:$B$1000)*1,ISNUMBER(SEARCH("DSL",[1]OUT_TransportEnergyCons!$C$3:$C$1000))*1,[1]OUT_TransportEnergyCons!G$3:G$1000)</f>
        <v>5.8831636558204564E-3</v>
      </c>
      <c r="J1189" s="1" cm="1">
        <f t="array" ref="J1189">SUMPRODUCT(("T_C-ICE-DSL-S1"=[1]OUT_TransportEnergyCons!$A$3:$A$1000)*1,("Var_Fin"=[1]OUT_TransportEnergyCons!$B$3:$B$1000)*1,ISNUMBER(SEARCH("DSL",[1]OUT_TransportEnergyCons!$C$3:$C$1000))*1,[1]OUT_TransportEnergyCons!H$3:H$1000)</f>
        <v>1.030245250674454E-3</v>
      </c>
      <c r="K1189" s="1" cm="1">
        <f t="array" ref="K1189">SUMPRODUCT(("T_C-ICE-DSL-S1"=[1]OUT_TransportEnergyCons!$A$3:$A$1000)*1,("Var_Fin"=[1]OUT_TransportEnergyCons!$B$3:$B$1000)*1,ISNUMBER(SEARCH("DSL",[1]OUT_TransportEnergyCons!$C$3:$C$1000))*1,[1]OUT_TransportEnergyCons!I$3:I$1000)</f>
        <v>2.2488764807151138E-5</v>
      </c>
    </row>
    <row r="1190" spans="2:11" x14ac:dyDescent="0.35">
      <c r="B1190" s="5" t="str">
        <f t="shared" si="744"/>
        <v>SPS3</v>
      </c>
      <c r="C1190" s="5" t="str">
        <f t="shared" si="743"/>
        <v>CH</v>
      </c>
      <c r="D1190" t="s">
        <v>1293</v>
      </c>
      <c r="E1190" t="s">
        <v>8</v>
      </c>
      <c r="F1190" s="1" cm="1">
        <f t="array" ref="F1190">SUMPRODUCT(("T_C-ICE-DSL-S2"=[1]OUT_TransportEnergyCons!$A$3:$A$1000)*1,("Var_Fin"=[1]OUT_TransportEnergyCons!$B$3:$B$1000)*1,ISNUMBER(SEARCH("DSL",[1]OUT_TransportEnergyCons!$C$3:$C$1000))*1,[1]OUT_TransportEnergyCons!D$3:D$1000)</f>
        <v>1.1762034319754326</v>
      </c>
      <c r="G1190" s="1" cm="1">
        <f t="array" ref="G1190">SUMPRODUCT(("T_C-ICE-DSL-S2"=[1]OUT_TransportEnergyCons!$A$3:$A$1000)*1,("Var_Fin"=[1]OUT_TransportEnergyCons!$B$3:$B$1000)*1,ISNUMBER(SEARCH("DSL",[1]OUT_TransportEnergyCons!$C$3:$C$1000))*1,[1]OUT_TransportEnergyCons!E$3:E$1000)</f>
        <v>1.2839108655686917</v>
      </c>
      <c r="H1190" s="1" cm="1">
        <f t="array" ref="H1190">SUMPRODUCT(("T_C-ICE-DSL-S2"=[1]OUT_TransportEnergyCons!$A$3:$A$1000)*1,("Var_Fin"=[1]OUT_TransportEnergyCons!$B$3:$B$1000)*1,ISNUMBER(SEARCH("DSL",[1]OUT_TransportEnergyCons!$C$3:$C$1000))*1,[1]OUT_TransportEnergyCons!F$3:F$1000)</f>
        <v>1.0229910762697063</v>
      </c>
      <c r="I1190" s="1" cm="1">
        <f t="array" ref="I1190">SUMPRODUCT(("T_C-ICE-DSL-S2"=[1]OUT_TransportEnergyCons!$A$3:$A$1000)*1,("Var_Fin"=[1]OUT_TransportEnergyCons!$B$3:$B$1000)*1,ISNUMBER(SEARCH("DSL",[1]OUT_TransportEnergyCons!$C$3:$C$1000))*1,[1]OUT_TransportEnergyCons!G$3:G$1000)</f>
        <v>0.83234473629285144</v>
      </c>
      <c r="J1190" s="1" cm="1">
        <f t="array" ref="J1190">SUMPRODUCT(("T_C-ICE-DSL-S2"=[1]OUT_TransportEnergyCons!$A$3:$A$1000)*1,("Var_Fin"=[1]OUT_TransportEnergyCons!$B$3:$B$1000)*1,ISNUMBER(SEARCH("DSL",[1]OUT_TransportEnergyCons!$C$3:$C$1000))*1,[1]OUT_TransportEnergyCons!H$3:H$1000)</f>
        <v>1.0477070739948338E-3</v>
      </c>
      <c r="K1190" s="1" cm="1">
        <f t="array" ref="K1190">SUMPRODUCT(("T_C-ICE-DSL-S2"=[1]OUT_TransportEnergyCons!$A$3:$A$1000)*1,("Var_Fin"=[1]OUT_TransportEnergyCons!$B$3:$B$1000)*1,ISNUMBER(SEARCH("DSL",[1]OUT_TransportEnergyCons!$C$3:$C$1000))*1,[1]OUT_TransportEnergyCons!I$3:I$1000)</f>
        <v>1.8147008707755028E-5</v>
      </c>
    </row>
    <row r="1191" spans="2:11" x14ac:dyDescent="0.35">
      <c r="B1191" s="5" t="str">
        <f t="shared" si="744"/>
        <v>SPS3</v>
      </c>
      <c r="C1191" s="5" t="str">
        <f t="shared" si="743"/>
        <v>CH</v>
      </c>
      <c r="D1191" t="s">
        <v>1294</v>
      </c>
      <c r="E1191" t="s">
        <v>8</v>
      </c>
      <c r="F1191" s="1" cm="1">
        <f t="array" ref="F1191">SUMPRODUCT(("T_C-ICE-DSL-S3"=[1]OUT_TransportEnergyCons!$A$3:$A$1000)*1,("Var_Fin"=[1]OUT_TransportEnergyCons!$B$3:$B$1000)*1,ISNUMBER(SEARCH("DSL",[1]OUT_TransportEnergyCons!$C$3:$C$1000))*1,[1]OUT_TransportEnergyCons!D$3:D$1000)</f>
        <v>4.495763228269686</v>
      </c>
      <c r="G1191" s="1" cm="1">
        <f t="array" ref="G1191">SUMPRODUCT(("T_C-ICE-DSL-S3"=[1]OUT_TransportEnergyCons!$A$3:$A$1000)*1,("Var_Fin"=[1]OUT_TransportEnergyCons!$B$3:$B$1000)*1,ISNUMBER(SEARCH("DSL",[1]OUT_TransportEnergyCons!$C$3:$C$1000))*1,[1]OUT_TransportEnergyCons!E$3:E$1000)</f>
        <v>5.3278544982413187</v>
      </c>
      <c r="H1191" s="1" cm="1">
        <f t="array" ref="H1191">SUMPRODUCT(("T_C-ICE-DSL-S3"=[1]OUT_TransportEnergyCons!$A$3:$A$1000)*1,("Var_Fin"=[1]OUT_TransportEnergyCons!$B$3:$B$1000)*1,ISNUMBER(SEARCH("DSL",[1]OUT_TransportEnergyCons!$C$3:$C$1000))*1,[1]OUT_TransportEnergyCons!F$3:F$1000)</f>
        <v>5.2773122195777926</v>
      </c>
      <c r="I1191" s="1" cm="1">
        <f t="array" ref="I1191">SUMPRODUCT(("T_C-ICE-DSL-S3"=[1]OUT_TransportEnergyCons!$A$3:$A$1000)*1,("Var_Fin"=[1]OUT_TransportEnergyCons!$B$3:$B$1000)*1,ISNUMBER(SEARCH("DSL",[1]OUT_TransportEnergyCons!$C$3:$C$1000))*1,[1]OUT_TransportEnergyCons!G$3:G$1000)</f>
        <v>4.0325958758497409</v>
      </c>
      <c r="J1191" s="1" cm="1">
        <f t="array" ref="J1191">SUMPRODUCT(("T_C-ICE-DSL-S3"=[1]OUT_TransportEnergyCons!$A$3:$A$1000)*1,("Var_Fin"=[1]OUT_TransportEnergyCons!$B$3:$B$1000)*1,ISNUMBER(SEARCH("DSL",[1]OUT_TransportEnergyCons!$C$3:$C$1000))*1,[1]OUT_TransportEnergyCons!H$3:H$1000)</f>
        <v>9.8000645649832575E-4</v>
      </c>
      <c r="K1191" s="1" cm="1">
        <f t="array" ref="K1191">SUMPRODUCT(("T_C-ICE-DSL-S3"=[1]OUT_TransportEnergyCons!$A$3:$A$1000)*1,("Var_Fin"=[1]OUT_TransportEnergyCons!$B$3:$B$1000)*1,ISNUMBER(SEARCH("DSL",[1]OUT_TransportEnergyCons!$C$3:$C$1000))*1,[1]OUT_TransportEnergyCons!I$3:I$1000)</f>
        <v>1.8225493732751585E-5</v>
      </c>
    </row>
    <row r="1192" spans="2:11" x14ac:dyDescent="0.35">
      <c r="B1192" s="5" t="str">
        <f t="shared" si="744"/>
        <v>SPS3</v>
      </c>
      <c r="C1192" s="5" t="str">
        <f t="shared" si="743"/>
        <v>CH</v>
      </c>
      <c r="D1192" t="s">
        <v>1295</v>
      </c>
      <c r="E1192" t="s">
        <v>8</v>
      </c>
      <c r="F1192" s="1" cm="1">
        <f t="array" ref="F1192">SUMPRODUCT(("T_C-ICE-DSL-S4"=[1]OUT_TransportEnergyCons!$A$3:$A$1000)*1,("Var_Fin"=[1]OUT_TransportEnergyCons!$B$3:$B$1000)*1,ISNUMBER(SEARCH("DSL",[1]OUT_TransportEnergyCons!$C$3:$C$1000))*1,[1]OUT_TransportEnergyCons!D$3:D$1000)</f>
        <v>1.9371731297022854</v>
      </c>
      <c r="G1192" s="1" cm="1">
        <f t="array" ref="G1192">SUMPRODUCT(("T_C-ICE-DSL-S4"=[1]OUT_TransportEnergyCons!$A$3:$A$1000)*1,("Var_Fin"=[1]OUT_TransportEnergyCons!$B$3:$B$1000)*1,ISNUMBER(SEARCH("DSL",[1]OUT_TransportEnergyCons!$C$3:$C$1000))*1,[1]OUT_TransportEnergyCons!E$3:E$1000)</f>
        <v>2.2106563654127158</v>
      </c>
      <c r="H1192" s="1" cm="1">
        <f t="array" ref="H1192">SUMPRODUCT(("T_C-ICE-DSL-S4"=[1]OUT_TransportEnergyCons!$A$3:$A$1000)*1,("Var_Fin"=[1]OUT_TransportEnergyCons!$B$3:$B$1000)*1,ISNUMBER(SEARCH("DSL",[1]OUT_TransportEnergyCons!$C$3:$C$1000))*1,[1]OUT_TransportEnergyCons!F$3:F$1000)</f>
        <v>2.16987709929399</v>
      </c>
      <c r="I1192" s="1" cm="1">
        <f t="array" ref="I1192">SUMPRODUCT(("T_C-ICE-DSL-S4"=[1]OUT_TransportEnergyCons!$A$3:$A$1000)*1,("Var_Fin"=[1]OUT_TransportEnergyCons!$B$3:$B$1000)*1,ISNUMBER(SEARCH("DSL",[1]OUT_TransportEnergyCons!$C$3:$C$1000))*1,[1]OUT_TransportEnergyCons!G$3:G$1000)</f>
        <v>1.6735872460355805</v>
      </c>
      <c r="J1192" s="1" cm="1">
        <f t="array" ref="J1192">SUMPRODUCT(("T_C-ICE-DSL-S4"=[1]OUT_TransportEnergyCons!$A$3:$A$1000)*1,("Var_Fin"=[1]OUT_TransportEnergyCons!$B$3:$B$1000)*1,ISNUMBER(SEARCH("DSL",[1]OUT_TransportEnergyCons!$C$3:$C$1000))*1,[1]OUT_TransportEnergyCons!H$3:H$1000)</f>
        <v>6.2996543364458727E-4</v>
      </c>
      <c r="K1192" s="1" cm="1">
        <f t="array" ref="K1192">SUMPRODUCT(("T_C-ICE-DSL-S4"=[1]OUT_TransportEnergyCons!$A$3:$A$1000)*1,("Var_Fin"=[1]OUT_TransportEnergyCons!$B$3:$B$1000)*1,ISNUMBER(SEARCH("DSL",[1]OUT_TransportEnergyCons!$C$3:$C$1000))*1,[1]OUT_TransportEnergyCons!I$3:I$1000)</f>
        <v>1.8900614040816273E-5</v>
      </c>
    </row>
    <row r="1193" spans="2:11" x14ac:dyDescent="0.35">
      <c r="B1193" s="5" t="str">
        <f t="shared" si="744"/>
        <v>SPS3</v>
      </c>
      <c r="C1193" s="5" t="str">
        <f t="shared" si="743"/>
        <v>CH</v>
      </c>
      <c r="D1193" t="s">
        <v>1296</v>
      </c>
      <c r="E1193" t="s">
        <v>8</v>
      </c>
      <c r="F1193" s="1" cm="1">
        <f t="array" ref="F1193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3" s="1" cm="1">
        <f t="array" ref="G1193">SUMPRODUCT(("T_C-MHY-DSL-S1"=[1]OUT_TransportEnergyCons!$A$3:$A$1000)*1,("Var_Fin"=[1]OUT_TransportEnergyCons!$B$3:$B$1000)*1,ISNUMBER(SEARCH("DSL",[1]OUT_TransportEnergyCons!$C$3:$C$1000))*1,[1]OUT_TransportEnergyCons!E$3:E$1000)</f>
        <v>9.3973037549143596E-4</v>
      </c>
      <c r="H1193" s="1" cm="1">
        <f t="array" ref="H1193">SUMPRODUCT(("T_C-MHY-DSL-S1"=[1]OUT_TransportEnergyCons!$A$3:$A$1000)*1,("Var_Fin"=[1]OUT_TransportEnergyCons!$B$3:$B$1000)*1,ISNUMBER(SEARCH("DSL",[1]OUT_TransportEnergyCons!$C$3:$C$1000))*1,[1]OUT_TransportEnergyCons!F$3:F$1000)</f>
        <v>2.5042711052454393E-3</v>
      </c>
      <c r="I1193" s="1" cm="1">
        <f t="array" ref="I1193">SUMPRODUCT(("T_C-MHY-DSL-S1"=[1]OUT_TransportEnergyCons!$A$3:$A$1000)*1,("Var_Fin"=[1]OUT_TransportEnergyCons!$B$3:$B$1000)*1,ISNUMBER(SEARCH("DSL",[1]OUT_TransportEnergyCons!$C$3:$C$1000))*1,[1]OUT_TransportEnergyCons!G$3:G$1000)</f>
        <v>3.512182797310266E-3</v>
      </c>
      <c r="J1193" s="1" cm="1">
        <f t="array" ref="J1193">SUMPRODUCT(("T_C-MHY-DSL-S1"=[1]OUT_TransportEnergyCons!$A$3:$A$1000)*1,("Var_Fin"=[1]OUT_TransportEnergyCons!$B$3:$B$1000)*1,ISNUMBER(SEARCH("DSL",[1]OUT_TransportEnergyCons!$C$3:$C$1000))*1,[1]OUT_TransportEnergyCons!H$3:H$1000)</f>
        <v>1.0417515942583576E-3</v>
      </c>
      <c r="K1193" s="1" cm="1">
        <f t="array" ref="K1193">SUMPRODUCT(("T_C-MHY-DSL-S1"=[1]OUT_TransportEnergyCons!$A$3:$A$1000)*1,("Var_Fin"=[1]OUT_TransportEnergyCons!$B$3:$B$1000)*1,ISNUMBER(SEARCH("DSL",[1]OUT_TransportEnergyCons!$C$3:$C$1000))*1,[1]OUT_TransportEnergyCons!I$3:I$1000)</f>
        <v>1.1294257759101239E-4</v>
      </c>
    </row>
    <row r="1194" spans="2:11" x14ac:dyDescent="0.35">
      <c r="B1194" s="5" t="str">
        <f t="shared" si="744"/>
        <v>SPS3</v>
      </c>
      <c r="C1194" s="5" t="str">
        <f t="shared" si="743"/>
        <v>CH</v>
      </c>
      <c r="D1194" t="s">
        <v>1297</v>
      </c>
      <c r="E1194" t="s">
        <v>8</v>
      </c>
      <c r="F1194" s="1" cm="1">
        <f t="array" ref="F1194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4" s="1" cm="1">
        <f t="array" ref="G1194">SUMPRODUCT(("T_C-MHY-DSL-S2"=[1]OUT_TransportEnergyCons!$A$3:$A$1000)*1,("Var_Fin"=[1]OUT_TransportEnergyCons!$B$3:$B$1000)*1,ISNUMBER(SEARCH("DSL",[1]OUT_TransportEnergyCons!$C$3:$C$1000))*1,[1]OUT_TransportEnergyCons!E$3:E$1000)</f>
        <v>8.2559179753274262E-4</v>
      </c>
      <c r="H1194" s="1" cm="1">
        <f t="array" ref="H1194">SUMPRODUCT(("T_C-MHY-DSL-S2"=[1]OUT_TransportEnergyCons!$A$3:$A$1000)*1,("Var_Fin"=[1]OUT_TransportEnergyCons!$B$3:$B$1000)*1,ISNUMBER(SEARCH("DSL",[1]OUT_TransportEnergyCons!$C$3:$C$1000))*1,[1]OUT_TransportEnergyCons!F$3:F$1000)</f>
        <v>2.4381217498765659E-3</v>
      </c>
      <c r="I1194" s="1" cm="1">
        <f t="array" ref="I1194">SUMPRODUCT(("T_C-MHY-DSL-S2"=[1]OUT_TransportEnergyCons!$A$3:$A$1000)*1,("Var_Fin"=[1]OUT_TransportEnergyCons!$B$3:$B$1000)*1,ISNUMBER(SEARCH("DSL",[1]OUT_TransportEnergyCons!$C$3:$C$1000))*1,[1]OUT_TransportEnergyCons!G$3:G$1000)</f>
        <v>4.1183641163725221E-3</v>
      </c>
      <c r="J1194" s="1" cm="1">
        <f t="array" ref="J1194">SUMPRODUCT(("T_C-MHY-DSL-S2"=[1]OUT_TransportEnergyCons!$A$3:$A$1000)*1,("Var_Fin"=[1]OUT_TransportEnergyCons!$B$3:$B$1000)*1,ISNUMBER(SEARCH("DSL",[1]OUT_TransportEnergyCons!$C$3:$C$1000))*1,[1]OUT_TransportEnergyCons!H$3:H$1000)</f>
        <v>1.0894822735755712E-3</v>
      </c>
      <c r="K1194" s="1" cm="1">
        <f t="array" ref="K1194">SUMPRODUCT(("T_C-MHY-DSL-S2"=[1]OUT_TransportEnergyCons!$A$3:$A$1000)*1,("Var_Fin"=[1]OUT_TransportEnergyCons!$B$3:$B$1000)*1,ISNUMBER(SEARCH("DSL",[1]OUT_TransportEnergyCons!$C$3:$C$1000))*1,[1]OUT_TransportEnergyCons!I$3:I$1000)</f>
        <v>9.7349848024055226E-5</v>
      </c>
    </row>
    <row r="1195" spans="2:11" x14ac:dyDescent="0.35">
      <c r="B1195" s="5" t="str">
        <f t="shared" si="744"/>
        <v>SPS3</v>
      </c>
      <c r="C1195" s="5" t="str">
        <f t="shared" si="743"/>
        <v>CH</v>
      </c>
      <c r="D1195" t="s">
        <v>1298</v>
      </c>
      <c r="E1195" t="s">
        <v>8</v>
      </c>
      <c r="F1195" s="1" cm="1">
        <f t="array" ref="F1195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SUMPRODUCT(("T_C-MHY-DSL-S3"=[1]OUT_TransportEnergyCons!$A$3:$A$1000)*1,("Var_Fin"=[1]OUT_TransportEnergyCons!$B$3:$B$1000)*1,ISNUMBER(SEARCH("DSL",[1]OUT_TransportEnergyCons!$C$3:$C$1000))*1,[1]OUT_TransportEnergyCons!E$3:E$1000)</f>
        <v>1.2311963699566453E-3</v>
      </c>
      <c r="H1195" s="1" cm="1">
        <f t="array" ref="H1195">SUMPRODUCT(("T_C-MHY-DSL-S3"=[1]OUT_TransportEnergyCons!$A$3:$A$1000)*1,("Var_Fin"=[1]OUT_TransportEnergyCons!$B$3:$B$1000)*1,ISNUMBER(SEARCH("DSL",[1]OUT_TransportEnergyCons!$C$3:$C$1000))*1,[1]OUT_TransportEnergyCons!F$3:F$1000)</f>
        <v>3.176804670589816E-3</v>
      </c>
      <c r="I1195" s="1" cm="1">
        <f t="array" ref="I1195">SUMPRODUCT(("T_C-MHY-DSL-S3"=[1]OUT_TransportEnergyCons!$A$3:$A$1000)*1,("Var_Fin"=[1]OUT_TransportEnergyCons!$B$3:$B$1000)*1,ISNUMBER(SEARCH("DSL",[1]OUT_TransportEnergyCons!$C$3:$C$1000))*1,[1]OUT_TransportEnergyCons!G$3:G$1000)</f>
        <v>5.0811343354537266E-3</v>
      </c>
      <c r="J1195" s="1" cm="1">
        <f t="array" ref="J1195">SUMPRODUCT(("T_C-MHY-DSL-S3"=[1]OUT_TransportEnergyCons!$A$3:$A$1000)*1,("Var_Fin"=[1]OUT_TransportEnergyCons!$B$3:$B$1000)*1,ISNUMBER(SEARCH("DSL",[1]OUT_TransportEnergyCons!$C$3:$C$1000))*1,[1]OUT_TransportEnergyCons!H$3:H$1000)</f>
        <v>1.1466314111005065E-3</v>
      </c>
      <c r="K1195" s="1" cm="1">
        <f t="array" ref="K1195">SUMPRODUCT(("T_C-MHY-DSL-S3"=[1]OUT_TransportEnergyCons!$A$3:$A$1000)*1,("Var_Fin"=[1]OUT_TransportEnergyCons!$B$3:$B$1000)*1,ISNUMBER(SEARCH("DSL",[1]OUT_TransportEnergyCons!$C$3:$C$1000))*1,[1]OUT_TransportEnergyCons!I$3:I$1000)</f>
        <v>8.6670868330577508E-5</v>
      </c>
    </row>
    <row r="1196" spans="2:11" x14ac:dyDescent="0.35">
      <c r="B1196" s="5" t="str">
        <f t="shared" si="744"/>
        <v>SPS3</v>
      </c>
      <c r="C1196" s="5" t="str">
        <f t="shared" si="743"/>
        <v>CH</v>
      </c>
      <c r="D1196" t="s">
        <v>1299</v>
      </c>
      <c r="E1196" t="s">
        <v>8</v>
      </c>
      <c r="F1196" s="1" cm="1">
        <f t="array" ref="F1196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SUMPRODUCT(("T_C-MHY-DSL-S4"=[1]OUT_TransportEnergyCons!$A$3:$A$1000)*1,("Var_Fin"=[1]OUT_TransportEnergyCons!$B$3:$B$1000)*1,ISNUMBER(SEARCH("DSL",[1]OUT_TransportEnergyCons!$C$3:$C$1000))*1,[1]OUT_TransportEnergyCons!E$3:E$1000)</f>
        <v>8.1465343399814432E-4</v>
      </c>
      <c r="H1196" s="1" cm="1">
        <f t="array" ref="H1196">SUMPRODUCT(("T_C-MHY-DSL-S4"=[1]OUT_TransportEnergyCons!$A$3:$A$1000)*1,("Var_Fin"=[1]OUT_TransportEnergyCons!$B$3:$B$1000)*1,ISNUMBER(SEARCH("DSL",[1]OUT_TransportEnergyCons!$C$3:$C$1000))*1,[1]OUT_TransportEnergyCons!F$3:F$1000)</f>
        <v>1.7907448516891768E-3</v>
      </c>
      <c r="I1196" s="1" cm="1">
        <f t="array" ref="I1196">SUMPRODUCT(("T_C-MHY-DSL-S4"=[1]OUT_TransportEnergyCons!$A$3:$A$1000)*1,("Var_Fin"=[1]OUT_TransportEnergyCons!$B$3:$B$1000)*1,ISNUMBER(SEARCH("DSL",[1]OUT_TransportEnergyCons!$C$3:$C$1000))*1,[1]OUT_TransportEnergyCons!G$3:G$1000)</f>
        <v>2.5203740484224112E-3</v>
      </c>
      <c r="J1196" s="1" cm="1">
        <f t="array" ref="J1196">SUMPRODUCT(("T_C-MHY-DSL-S4"=[1]OUT_TransportEnergyCons!$A$3:$A$1000)*1,("Var_Fin"=[1]OUT_TransportEnergyCons!$B$3:$B$1000)*1,ISNUMBER(SEARCH("DSL",[1]OUT_TransportEnergyCons!$C$3:$C$1000))*1,[1]OUT_TransportEnergyCons!H$3:H$1000)</f>
        <v>6.6223631065327553E-4</v>
      </c>
      <c r="K1196" s="1" cm="1">
        <f t="array" ref="K1196">SUMPRODUCT(("T_C-MHY-DSL-S4"=[1]OUT_TransportEnergyCons!$A$3:$A$1000)*1,("Var_Fin"=[1]OUT_TransportEnergyCons!$B$3:$B$1000)*1,ISNUMBER(SEARCH("DSL",[1]OUT_TransportEnergyCons!$C$3:$C$1000))*1,[1]OUT_TransportEnergyCons!I$3:I$1000)</f>
        <v>8.0770077371256009E-5</v>
      </c>
    </row>
    <row r="1197" spans="2:11" x14ac:dyDescent="0.35">
      <c r="B1197" s="5" t="str">
        <f t="shared" si="744"/>
        <v>SPS3</v>
      </c>
      <c r="C1197" s="5" t="str">
        <f t="shared" si="743"/>
        <v>CH</v>
      </c>
      <c r="D1197" t="s">
        <v>1300</v>
      </c>
      <c r="E1197" t="s">
        <v>8</v>
      </c>
      <c r="F1197" s="1" cm="1">
        <f t="array" ref="F1197">SUMPRODUCT(("T-Plg-DSL-mix_S1"=[1]OUT_TransportEnergyCons!$A$3:$A$1000)*1,("Var_Fin"=[1]OUT_TransportEnergyCons!$B$3:$B$1000)*1,ISNUMBER(SEARCH("DSL",[1]OUT_TransportEnergyCons!$C$3:$C$1000))*1,[1]OUT_TransportEnergyCons!D$3:D$1000)</f>
        <v>1.8467079195501581E-5</v>
      </c>
      <c r="G1197" s="1" cm="1">
        <f t="array" ref="G1197">SUMPRODUCT(("T-Plg-DSL-mix_S1"=[1]OUT_TransportEnergyCons!$A$3:$A$1000)*1,("Var_Fin"=[1]OUT_TransportEnergyCons!$B$3:$B$1000)*1,ISNUMBER(SEARCH("DSL",[1]OUT_TransportEnergyCons!$C$3:$C$1000))*1,[1]OUT_TransportEnergyCons!E$3:E$1000)</f>
        <v>1.2023263154615712E-3</v>
      </c>
      <c r="H1197" s="1" cm="1">
        <f t="array" ref="H1197">SUMPRODUCT(("T-Plg-DSL-mix_S1"=[1]OUT_TransportEnergyCons!$A$3:$A$1000)*1,("Var_Fin"=[1]OUT_TransportEnergyCons!$B$3:$B$1000)*1,ISNUMBER(SEARCH("DSL",[1]OUT_TransportEnergyCons!$C$3:$C$1000))*1,[1]OUT_TransportEnergyCons!F$3:F$1000)</f>
        <v>2.3712952504081285E-3</v>
      </c>
      <c r="I1197" s="1" cm="1">
        <f t="array" ref="I1197">SUMPRODUCT(("T-Plg-DSL-mix_S1"=[1]OUT_TransportEnergyCons!$A$3:$A$1000)*1,("Var_Fin"=[1]OUT_TransportEnergyCons!$B$3:$B$1000)*1,ISNUMBER(SEARCH("DSL",[1]OUT_TransportEnergyCons!$C$3:$C$1000))*1,[1]OUT_TransportEnergyCons!G$3:G$1000)</f>
        <v>2.5109938808924111E-3</v>
      </c>
      <c r="J1197" s="1" cm="1">
        <f t="array" ref="J1197">SUMPRODUCT(("T-Plg-DSL-mix_S1"=[1]OUT_TransportEnergyCons!$A$3:$A$1000)*1,("Var_Fin"=[1]OUT_TransportEnergyCons!$B$3:$B$1000)*1,ISNUMBER(SEARCH("DSL",[1]OUT_TransportEnergyCons!$C$3:$C$1000))*1,[1]OUT_TransportEnergyCons!H$3:H$1000)</f>
        <v>1.337731790139584E-3</v>
      </c>
      <c r="K1197" s="1" cm="1">
        <f t="array" ref="K1197">SUMPRODUCT(("T-Plg-DSL-mix_S1"=[1]OUT_TransportEnergyCons!$A$3:$A$1000)*1,("Var_Fin"=[1]OUT_TransportEnergyCons!$B$3:$B$1000)*1,ISNUMBER(SEARCH("DSL",[1]OUT_TransportEnergyCons!$C$3:$C$1000))*1,[1]OUT_TransportEnergyCons!I$3:I$1000)</f>
        <v>3.2966534169089328E-4</v>
      </c>
    </row>
    <row r="1198" spans="2:11" x14ac:dyDescent="0.35">
      <c r="B1198" s="5" t="str">
        <f t="shared" si="744"/>
        <v>SPS3</v>
      </c>
      <c r="C1198" s="5" t="str">
        <f t="shared" si="743"/>
        <v>CH</v>
      </c>
      <c r="D1198" t="s">
        <v>1301</v>
      </c>
      <c r="E1198" t="s">
        <v>8</v>
      </c>
      <c r="F1198" s="1" cm="1">
        <f t="array" ref="F1198">SUMPRODUCT(("T-Plg-DSL-mix_S2"=[1]OUT_TransportEnergyCons!$A$3:$A$1000)*1,("Var_Fin"=[1]OUT_TransportEnergyCons!$B$3:$B$1000)*1,ISNUMBER(SEARCH("DSL",[1]OUT_TransportEnergyCons!$C$3:$C$1000))*1,[1]OUT_TransportEnergyCons!D$3:D$1000)</f>
        <v>2.2184518805826783E-5</v>
      </c>
      <c r="G1198" s="1" cm="1">
        <f t="array" ref="G1198">SUMPRODUCT(("T-Plg-DSL-mix_S2"=[1]OUT_TransportEnergyCons!$A$3:$A$1000)*1,("Var_Fin"=[1]OUT_TransportEnergyCons!$B$3:$B$1000)*1,ISNUMBER(SEARCH("DSL",[1]OUT_TransportEnergyCons!$C$3:$C$1000))*1,[1]OUT_TransportEnergyCons!E$3:E$1000)</f>
        <v>1.7862087721926265E-3</v>
      </c>
      <c r="H1198" s="1" cm="1">
        <f t="array" ref="H1198">SUMPRODUCT(("T-Plg-DSL-mix_S2"=[1]OUT_TransportEnergyCons!$A$3:$A$1000)*1,("Var_Fin"=[1]OUT_TransportEnergyCons!$B$3:$B$1000)*1,ISNUMBER(SEARCH("DSL",[1]OUT_TransportEnergyCons!$C$3:$C$1000))*1,[1]OUT_TransportEnergyCons!F$3:F$1000)</f>
        <v>4.8945654645656611E-3</v>
      </c>
      <c r="I1198" s="1" cm="1">
        <f t="array" ref="I1198">SUMPRODUCT(("T-Plg-DSL-mix_S2"=[1]OUT_TransportEnergyCons!$A$3:$A$1000)*1,("Var_Fin"=[1]OUT_TransportEnergyCons!$B$3:$B$1000)*1,ISNUMBER(SEARCH("DSL",[1]OUT_TransportEnergyCons!$C$3:$C$1000))*1,[1]OUT_TransportEnergyCons!G$3:G$1000)</f>
        <v>6.1093181214512725E-3</v>
      </c>
      <c r="J1198" s="1" cm="1">
        <f t="array" ref="J1198">SUMPRODUCT(("T-Plg-DSL-mix_S2"=[1]OUT_TransportEnergyCons!$A$3:$A$1000)*1,("Var_Fin"=[1]OUT_TransportEnergyCons!$B$3:$B$1000)*1,ISNUMBER(SEARCH("DSL",[1]OUT_TransportEnergyCons!$C$3:$C$1000))*1,[1]OUT_TransportEnergyCons!H$3:H$1000)</f>
        <v>4.3581165572372784E-3</v>
      </c>
      <c r="K1198" s="1" cm="1">
        <f t="array" ref="K1198">SUMPRODUCT(("T-Plg-DSL-mix_S2"=[1]OUT_TransportEnergyCons!$A$3:$A$1000)*1,("Var_Fin"=[1]OUT_TransportEnergyCons!$B$3:$B$1000)*1,ISNUMBER(SEARCH("DSL",[1]OUT_TransportEnergyCons!$C$3:$C$1000))*1,[1]OUT_TransportEnergyCons!I$3:I$1000)</f>
        <v>6.851158784536446E-4</v>
      </c>
    </row>
    <row r="1199" spans="2:11" x14ac:dyDescent="0.35">
      <c r="B1199" s="5" t="str">
        <f t="shared" si="744"/>
        <v>SPS3</v>
      </c>
      <c r="C1199" s="5" t="str">
        <f t="shared" si="743"/>
        <v>CH</v>
      </c>
      <c r="D1199" t="s">
        <v>1302</v>
      </c>
      <c r="E1199" t="s">
        <v>8</v>
      </c>
      <c r="F1199" s="1" cm="1">
        <f t="array" ref="F1199">SUMPRODUCT(("T-Plg-DSL-mix_S3"=[1]OUT_TransportEnergyCons!$A$3:$A$1000)*1,("Var_Fin"=[1]OUT_TransportEnergyCons!$B$3:$B$1000)*1,ISNUMBER(SEARCH("DSL",[1]OUT_TransportEnergyCons!$C$3:$C$1000))*1,[1]OUT_TransportEnergyCons!D$3:D$1000)</f>
        <v>1.2698814464990785E-4</v>
      </c>
      <c r="G1199" s="1" cm="1">
        <f t="array" ref="G1199">SUMPRODUCT(("T-Plg-DSL-mix_S3"=[1]OUT_TransportEnergyCons!$A$3:$A$1000)*1,("Var_Fin"=[1]OUT_TransportEnergyCons!$B$3:$B$1000)*1,ISNUMBER(SEARCH("DSL",[1]OUT_TransportEnergyCons!$C$3:$C$1000))*1,[1]OUT_TransportEnergyCons!E$3:E$1000)</f>
        <v>1.8181331438655142E-2</v>
      </c>
      <c r="H1199" s="1" cm="1">
        <f t="array" ref="H1199">SUMPRODUCT(("T-Plg-DSL-mix_S3"=[1]OUT_TransportEnergyCons!$A$3:$A$1000)*1,("Var_Fin"=[1]OUT_TransportEnergyCons!$B$3:$B$1000)*1,ISNUMBER(SEARCH("DSL",[1]OUT_TransportEnergyCons!$C$3:$C$1000))*1,[1]OUT_TransportEnergyCons!F$3:F$1000)</f>
        <v>1.4199632670959588</v>
      </c>
      <c r="I1199" s="1" cm="1">
        <f t="array" ref="I1199">SUMPRODUCT(("T-Plg-DSL-mix_S3"=[1]OUT_TransportEnergyCons!$A$3:$A$1000)*1,("Var_Fin"=[1]OUT_TransportEnergyCons!$B$3:$B$1000)*1,ISNUMBER(SEARCH("DSL",[1]OUT_TransportEnergyCons!$C$3:$C$1000))*1,[1]OUT_TransportEnergyCons!G$3:G$1000)</f>
        <v>3.736394021902568</v>
      </c>
      <c r="J1199" s="1" cm="1">
        <f t="array" ref="J1199">SUMPRODUCT(("T-Plg-DSL-mix_S3"=[1]OUT_TransportEnergyCons!$A$3:$A$1000)*1,("Var_Fin"=[1]OUT_TransportEnergyCons!$B$3:$B$1000)*1,ISNUMBER(SEARCH("DSL",[1]OUT_TransportEnergyCons!$C$3:$C$1000))*1,[1]OUT_TransportEnergyCons!H$3:H$1000)</f>
        <v>3.4751778891082332</v>
      </c>
      <c r="K1199" s="1" cm="1">
        <f t="array" ref="K1199">SUMPRODUCT(("T-Plg-DSL-mix_S3"=[1]OUT_TransportEnergyCons!$A$3:$A$1000)*1,("Var_Fin"=[1]OUT_TransportEnergyCons!$B$3:$B$1000)*1,ISNUMBER(SEARCH("DSL",[1]OUT_TransportEnergyCons!$C$3:$C$1000))*1,[1]OUT_TransportEnergyCons!I$3:I$1000)</f>
        <v>0.3283996655101995</v>
      </c>
    </row>
    <row r="1200" spans="2:11" x14ac:dyDescent="0.35">
      <c r="B1200" s="5" t="str">
        <f t="shared" si="744"/>
        <v>SPS3</v>
      </c>
      <c r="C1200" s="5" t="str">
        <f t="shared" si="743"/>
        <v>CH</v>
      </c>
      <c r="D1200" t="s">
        <v>1303</v>
      </c>
      <c r="E1200" t="s">
        <v>8</v>
      </c>
      <c r="F1200" s="1" cm="1">
        <f t="array" ref="F1200">SUMPRODUCT(("T-Plg-DSL-mix_S4"=[1]OUT_TransportEnergyCons!$A$3:$A$1000)*1,("Var_Fin"=[1]OUT_TransportEnergyCons!$B$3:$B$1000)*1,ISNUMBER(SEARCH("DSL",[1]OUT_TransportEnergyCons!$C$3:$C$1000))*1,[1]OUT_TransportEnergyCons!D$3:D$1000)</f>
        <v>5.7317782545013305E-3</v>
      </c>
      <c r="G1200" s="1" cm="1">
        <f t="array" ref="G1200">SUMPRODUCT(("T-Plg-DSL-mix_S4"=[1]OUT_TransportEnergyCons!$A$3:$A$1000)*1,("Var_Fin"=[1]OUT_TransportEnergyCons!$B$3:$B$1000)*1,ISNUMBER(SEARCH("DSL",[1]OUT_TransportEnergyCons!$C$3:$C$1000))*1,[1]OUT_TransportEnergyCons!E$3:E$1000)</f>
        <v>2.3222301465292975E-2</v>
      </c>
      <c r="H1200" s="1" cm="1">
        <f t="array" ref="H1200">SUMPRODUCT(("T-Plg-DSL-mix_S4"=[1]OUT_TransportEnergyCons!$A$3:$A$1000)*1,("Var_Fin"=[1]OUT_TransportEnergyCons!$B$3:$B$1000)*1,ISNUMBER(SEARCH("DSL",[1]OUT_TransportEnergyCons!$C$3:$C$1000))*1,[1]OUT_TransportEnergyCons!F$3:F$1000)</f>
        <v>2.9843241862095592E-2</v>
      </c>
      <c r="I1200" s="1" cm="1">
        <f t="array" ref="I1200">SUMPRODUCT(("T-Plg-DSL-mix_S4"=[1]OUT_TransportEnergyCons!$A$3:$A$1000)*1,("Var_Fin"=[1]OUT_TransportEnergyCons!$B$3:$B$1000)*1,ISNUMBER(SEARCH("DSL",[1]OUT_TransportEnergyCons!$C$3:$C$1000))*1,[1]OUT_TransportEnergyCons!G$3:G$1000)</f>
        <v>2.5934681042591976E-2</v>
      </c>
      <c r="J1200" s="1" cm="1">
        <f t="array" ref="J1200">SUMPRODUCT(("T-Plg-DSL-mix_S4"=[1]OUT_TransportEnergyCons!$A$3:$A$1000)*1,("Var_Fin"=[1]OUT_TransportEnergyCons!$B$3:$B$1000)*1,ISNUMBER(SEARCH("DSL",[1]OUT_TransportEnergyCons!$C$3:$C$1000))*1,[1]OUT_TransportEnergyCons!H$3:H$1000)</f>
        <v>6.3788731254888582E-3</v>
      </c>
      <c r="K1200" s="1" cm="1">
        <f t="array" ref="K1200">SUMPRODUCT(("T-Plg-DSL-mix_S4"=[1]OUT_TransportEnergyCons!$A$3:$A$1000)*1,("Var_Fin"=[1]OUT_TransportEnergyCons!$B$3:$B$1000)*1,ISNUMBER(SEARCH("DSL",[1]OUT_TransportEnergyCons!$C$3:$C$1000))*1,[1]OUT_TransportEnergyCons!I$3:I$1000)</f>
        <v>9.6557089646041774E-4</v>
      </c>
    </row>
    <row r="1201" spans="2:11" x14ac:dyDescent="0.35">
      <c r="B1201" s="5" t="str">
        <f t="shared" si="744"/>
        <v>SPS3</v>
      </c>
      <c r="C1201" s="5" t="str">
        <f t="shared" si="743"/>
        <v>CH</v>
      </c>
      <c r="D1201" t="s">
        <v>1304</v>
      </c>
      <c r="E1201" t="s">
        <v>8</v>
      </c>
      <c r="F1201" s="1">
        <f>SUM(F1206:F1210)</f>
        <v>0.10859146365334538</v>
      </c>
      <c r="G1201" s="1">
        <f t="shared" ref="G1201:K1201" si="763">SUM(G1206:G1210)</f>
        <v>4.2581134807743649E-2</v>
      </c>
      <c r="H1201" s="1">
        <f t="shared" si="763"/>
        <v>5.6315798151820702E-2</v>
      </c>
      <c r="I1201" s="1">
        <f t="shared" si="763"/>
        <v>4.4547395144015544E-3</v>
      </c>
      <c r="J1201" s="1">
        <f t="shared" si="763"/>
        <v>1.7983061118158547E-3</v>
      </c>
      <c r="K1201" s="1">
        <f t="shared" si="763"/>
        <v>2.0842914013077061E-4</v>
      </c>
    </row>
    <row r="1202" spans="2:11" x14ac:dyDescent="0.35">
      <c r="B1202" s="5" t="str">
        <f t="shared" si="744"/>
        <v>SPS3</v>
      </c>
      <c r="C1202" s="5" t="str">
        <f t="shared" si="743"/>
        <v>CH</v>
      </c>
      <c r="D1202" t="s">
        <v>1336</v>
      </c>
      <c r="E1202" t="s">
        <v>8</v>
      </c>
      <c r="F1202" s="1">
        <f>F1201-F1203</f>
        <v>0.10017395418106917</v>
      </c>
      <c r="G1202" s="1">
        <f t="shared" ref="G1202:K1202" si="764">G1201-G1203</f>
        <v>3.8298919643922728E-2</v>
      </c>
      <c r="H1202" s="1">
        <f t="shared" si="764"/>
        <v>5.1522098601161151E-2</v>
      </c>
      <c r="I1202" s="1">
        <f t="shared" si="764"/>
        <v>4.204668148789832E-3</v>
      </c>
      <c r="J1202" s="1">
        <f t="shared" si="764"/>
        <v>-0.35054083060880203</v>
      </c>
      <c r="K1202" s="1">
        <f t="shared" si="764"/>
        <v>-4.7058503043071548E-2</v>
      </c>
    </row>
    <row r="1203" spans="2:11" x14ac:dyDescent="0.35">
      <c r="B1203" s="5" t="str">
        <f t="shared" si="744"/>
        <v>SPS3</v>
      </c>
      <c r="C1203" s="5" t="str">
        <f t="shared" si="743"/>
        <v>CH</v>
      </c>
      <c r="D1203" t="s">
        <v>1337</v>
      </c>
      <c r="E1203" t="s">
        <v>8</v>
      </c>
      <c r="F1203" s="1">
        <f>SUM(F1204:F1205)</f>
        <v>8.4175094722762148E-3</v>
      </c>
      <c r="G1203" s="1">
        <f t="shared" ref="G1203" si="765">SUM(G1204:G1205)</f>
        <v>4.2822151638209228E-3</v>
      </c>
      <c r="H1203" s="1">
        <f t="shared" ref="H1203" si="766">SUM(H1204:H1205)</f>
        <v>4.7936995506595486E-3</v>
      </c>
      <c r="I1203" s="1">
        <f t="shared" ref="I1203" si="767">SUM(I1204:I1205)</f>
        <v>2.5007136561172241E-4</v>
      </c>
      <c r="J1203" s="1">
        <f t="shared" ref="J1203" si="768">SUM(J1204:J1205)</f>
        <v>0.3523391367206179</v>
      </c>
      <c r="K1203" s="1">
        <f t="shared" ref="K1203" si="769">SUM(K1204:K1205)</f>
        <v>4.7266932183202319E-2</v>
      </c>
    </row>
    <row r="1204" spans="2:11" x14ac:dyDescent="0.35">
      <c r="B1204" s="5" t="str">
        <f t="shared" ref="B1204:B1267" si="770">B1203</f>
        <v>SPS3</v>
      </c>
      <c r="C1204" s="5" t="str">
        <f t="shared" si="743"/>
        <v>CH</v>
      </c>
      <c r="D1204" t="s">
        <v>1338</v>
      </c>
      <c r="E1204" t="s">
        <v>8</v>
      </c>
      <c r="F1204" s="1">
        <f>[1]Transport!B$27/SUM([1]Transport!B$24,[1]Transport!B$27)*F1201*(F$45+F$612)/(F$45+F$612+F$47)</f>
        <v>8.4175094722762148E-3</v>
      </c>
      <c r="G1204" s="1">
        <f>[1]Transport!C$27/SUM([1]Transport!C$24,[1]Transport!C$27)*G1201*(G$45+G$612)/(G$45+G$612+G$47)</f>
        <v>4.2822151638209228E-3</v>
      </c>
      <c r="H1204" s="1">
        <f>[1]Transport!D$27/SUM([1]Transport!D$24,[1]Transport!D$27)*H1201*(H$45+H$612)/(H$45+H$612+H$47)</f>
        <v>4.7936995506595486E-3</v>
      </c>
      <c r="I1204" s="1">
        <f>[1]Transport!E$27/SUM([1]Transport!E$24,[1]Transport!E$27)*I1201*(I$45+I$612)/(I$45+I$612+I$47)</f>
        <v>2.5007136561172241E-4</v>
      </c>
      <c r="J1204" s="1">
        <f>[1]Transport!F$27/SUM([1]Transport!F$24,[1]Transport!F$27)*J1201*(J$45+J$612)/(J$45+J$612+J$47)</f>
        <v>5.6487156935417231E-4</v>
      </c>
      <c r="K1204" s="1">
        <f>[1]Transport!G$27/SUM([1]Transport!G$24,[1]Transport!G$27)*K1201*(K$45+K$612)/(K$45+K$612+K$47)</f>
        <v>1.1128853737247426E-4</v>
      </c>
    </row>
    <row r="1205" spans="2:11" x14ac:dyDescent="0.35">
      <c r="B1205" s="5" t="str">
        <f t="shared" si="770"/>
        <v>SPS3</v>
      </c>
      <c r="C1205" s="5" t="str">
        <f t="shared" si="743"/>
        <v>CH</v>
      </c>
      <c r="D1205" t="s">
        <v>1339</v>
      </c>
      <c r="E1205" t="s">
        <v>8</v>
      </c>
      <c r="F1205" s="1">
        <f>(F$47+F$714)/([1]Transport!B$24+[1]Transport!B$27)*F1201</f>
        <v>0</v>
      </c>
      <c r="G1205" s="1">
        <f>(G$47+G$714)/([1]Transport!C$24+[1]Transport!C$27)*G1201</f>
        <v>0</v>
      </c>
      <c r="H1205" s="1">
        <f>(H$47+H$714)/([1]Transport!D$24+[1]Transport!D$27)*H1201</f>
        <v>0</v>
      </c>
      <c r="I1205" s="1">
        <f>(I$47+I$714)/([1]Transport!E$24+[1]Transport!E$27)*I1201</f>
        <v>0</v>
      </c>
      <c r="J1205" s="1">
        <f>(J$47+J$714)/([1]Transport!F$24+[1]Transport!F$27)*J1201</f>
        <v>0.3517742651512637</v>
      </c>
      <c r="K1205" s="1">
        <f>(K$47+K$714)/([1]Transport!G$24+[1]Transport!G$27)*K1201</f>
        <v>4.7155643645829845E-2</v>
      </c>
    </row>
    <row r="1206" spans="2:11" x14ac:dyDescent="0.35">
      <c r="B1206" s="5" t="str">
        <f t="shared" si="770"/>
        <v>SPS3</v>
      </c>
      <c r="C1206" s="5" t="str">
        <f>C1201</f>
        <v>CH</v>
      </c>
      <c r="D1206" t="s">
        <v>1331</v>
      </c>
      <c r="E1206" t="s">
        <v>8</v>
      </c>
      <c r="F1206" s="1" cm="1">
        <f t="array" ref="F1206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6" s="1" cm="1">
        <f t="array" ref="G1206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6" s="1" cm="1">
        <f t="array" ref="H1206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6" s="1" cm="1">
        <f t="array" ref="I1206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6" s="1" cm="1">
        <f t="array" ref="J1206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6" s="1" cm="1">
        <f t="array" ref="K1206">SUMPRODUCT(("T_C-ICENGAEXT"=[1]OUT_TransportEnergyCons!$A$3:$A$1000)*1,("Var_Fin"=[1]OUT_TransportEnergyCons!$B$3:$B$1000)*1,ISNUMBER(SEARCH("NGA",[1]OUT_TransportEnergyCons!$C$3:$C$1000))*1,[1]OUT_TransportEnergyCons!I$3:I$1000)</f>
        <v>0</v>
      </c>
    </row>
    <row r="1207" spans="2:11" x14ac:dyDescent="0.35">
      <c r="B1207" s="5" t="str">
        <f t="shared" si="770"/>
        <v>SPS3</v>
      </c>
      <c r="C1207" s="5" t="str">
        <f t="shared" si="743"/>
        <v>CH</v>
      </c>
      <c r="D1207" t="s">
        <v>1332</v>
      </c>
      <c r="E1207" t="s">
        <v>8</v>
      </c>
      <c r="F1207" s="1" cm="1">
        <f t="array" ref="F1207">SUMPRODUCT(("T_C-ICE-NGA-S1"=[1]OUT_TransportEnergyCons!$A$3:$A$1000)*1,("Var_Fin"=[1]OUT_TransportEnergyCons!$B$3:$B$1000)*1,ISNUMBER(SEARCH("NGA",[1]OUT_TransportEnergyCons!$C$3:$C$1000))*1,[1]OUT_TransportEnergyCons!D$3:D$1000)</f>
        <v>3.5591533956449567E-3</v>
      </c>
      <c r="G1207" s="1" cm="1">
        <f t="array" ref="G1207">SUMPRODUCT(("T_C-ICE-NGA-S1"=[1]OUT_TransportEnergyCons!$A$3:$A$1000)*1,("Var_Fin"=[1]OUT_TransportEnergyCons!$B$3:$B$1000)*1,ISNUMBER(SEARCH("NGA",[1]OUT_TransportEnergyCons!$C$3:$C$1000))*1,[1]OUT_TransportEnergyCons!E$3:E$1000)</f>
        <v>1.6445037376323652E-3</v>
      </c>
      <c r="H1207" s="1" cm="1">
        <f t="array" ref="H1207">SUMPRODUCT(("T_C-ICE-NGA-S1"=[1]OUT_TransportEnergyCons!$A$3:$A$1000)*1,("Var_Fin"=[1]OUT_TransportEnergyCons!$B$3:$B$1000)*1,ISNUMBER(SEARCH("NGA",[1]OUT_TransportEnergyCons!$C$3:$C$1000))*1,[1]OUT_TransportEnergyCons!F$3:F$1000)</f>
        <v>1.8670030523658761E-3</v>
      </c>
      <c r="I1207" s="1" cm="1">
        <f t="array" ref="I1207">SUMPRODUCT(("T_C-ICE-NGA-S1"=[1]OUT_TransportEnergyCons!$A$3:$A$1000)*1,("Var_Fin"=[1]OUT_TransportEnergyCons!$B$3:$B$1000)*1,ISNUMBER(SEARCH("NGA",[1]OUT_TransportEnergyCons!$C$3:$C$1000))*1,[1]OUT_TransportEnergyCons!G$3:G$1000)</f>
        <v>4.7139039032046646E-4</v>
      </c>
      <c r="J1207" s="1" cm="1">
        <f t="array" ref="J1207">SUMPRODUCT(("T_C-ICE-NGA-S1"=[1]OUT_TransportEnergyCons!$A$3:$A$1000)*1,("Var_Fin"=[1]OUT_TransportEnergyCons!$B$3:$B$1000)*1,ISNUMBER(SEARCH("NGA",[1]OUT_TransportEnergyCons!$C$3:$C$1000))*1,[1]OUT_TransportEnergyCons!H$3:H$1000)</f>
        <v>2.3383088862009564E-4</v>
      </c>
      <c r="K1207" s="1" cm="1">
        <f t="array" ref="K1207">SUMPRODUCT(("T_C-ICE-NGA-S1"=[1]OUT_TransportEnergyCons!$A$3:$A$1000)*1,("Var_Fin"=[1]OUT_TransportEnergyCons!$B$3:$B$1000)*1,ISNUMBER(SEARCH("NGA",[1]OUT_TransportEnergyCons!$C$3:$C$1000))*1,[1]OUT_TransportEnergyCons!I$3:I$1000)</f>
        <v>4.6258672682425282E-5</v>
      </c>
    </row>
    <row r="1208" spans="2:11" x14ac:dyDescent="0.35">
      <c r="B1208" s="5" t="str">
        <f t="shared" si="770"/>
        <v>SPS3</v>
      </c>
      <c r="C1208" s="5" t="str">
        <f t="shared" si="743"/>
        <v>CH</v>
      </c>
      <c r="D1208" t="s">
        <v>1333</v>
      </c>
      <c r="E1208" t="s">
        <v>8</v>
      </c>
      <c r="F1208" s="1" cm="1">
        <f t="array" ref="F1208">SUMPRODUCT(("T_C-ICE-NGA-S2"=[1]OUT_TransportEnergyCons!$A$3:$A$1000)*1,("Var_Fin"=[1]OUT_TransportEnergyCons!$B$3:$B$1000)*1,ISNUMBER(SEARCH("NGA",[1]OUT_TransportEnergyCons!$C$3:$C$1000))*1,[1]OUT_TransportEnergyCons!D$3:D$1000)</f>
        <v>5.2666147409737123E-2</v>
      </c>
      <c r="G1208" s="1" cm="1">
        <f t="array" ref="G1208">SUMPRODUCT(("T_C-ICE-NGA-S2"=[1]OUT_TransportEnergyCons!$A$3:$A$1000)*1,("Var_Fin"=[1]OUT_TransportEnergyCons!$B$3:$B$1000)*1,ISNUMBER(SEARCH("NGA",[1]OUT_TransportEnergyCons!$C$3:$C$1000))*1,[1]OUT_TransportEnergyCons!E$3:E$1000)</f>
        <v>5.8917139105378142E-3</v>
      </c>
      <c r="H1208" s="1" cm="1">
        <f t="array" ref="H1208">SUMPRODUCT(("T_C-ICE-NGA-S2"=[1]OUT_TransportEnergyCons!$A$3:$A$1000)*1,("Var_Fin"=[1]OUT_TransportEnergyCons!$B$3:$B$1000)*1,ISNUMBER(SEARCH("NGA",[1]OUT_TransportEnergyCons!$C$3:$C$1000))*1,[1]OUT_TransportEnergyCons!F$3:F$1000)</f>
        <v>7.772708807006483E-3</v>
      </c>
      <c r="I1208" s="1" cm="1">
        <f t="array" ref="I1208">SUMPRODUCT(("T_C-ICE-NGA-S2"=[1]OUT_TransportEnergyCons!$A$3:$A$1000)*1,("Var_Fin"=[1]OUT_TransportEnergyCons!$B$3:$B$1000)*1,ISNUMBER(SEARCH("NGA",[1]OUT_TransportEnergyCons!$C$3:$C$1000))*1,[1]OUT_TransportEnergyCons!G$3:G$1000)</f>
        <v>1.3281391326604307E-3</v>
      </c>
      <c r="J1208" s="1" cm="1">
        <f t="array" ref="J1208">SUMPRODUCT(("T_C-ICE-NGA-S2"=[1]OUT_TransportEnergyCons!$A$3:$A$1000)*1,("Var_Fin"=[1]OUT_TransportEnergyCons!$B$3:$B$1000)*1,ISNUMBER(SEARCH("NGA",[1]OUT_TransportEnergyCons!$C$3:$C$1000))*1,[1]OUT_TransportEnergyCons!H$3:H$1000)</f>
        <v>3.8154659205596482E-4</v>
      </c>
      <c r="K1208" s="1" cm="1">
        <f t="array" ref="K1208">SUMPRODUCT(("T_C-ICE-NGA-S2"=[1]OUT_TransportEnergyCons!$A$3:$A$1000)*1,("Var_Fin"=[1]OUT_TransportEnergyCons!$B$3:$B$1000)*1,ISNUMBER(SEARCH("NGA",[1]OUT_TransportEnergyCons!$C$3:$C$1000))*1,[1]OUT_TransportEnergyCons!I$3:I$1000)</f>
        <v>4.2553904684034389E-5</v>
      </c>
    </row>
    <row r="1209" spans="2:11" x14ac:dyDescent="0.35">
      <c r="B1209" s="5" t="str">
        <f t="shared" si="770"/>
        <v>SPS3</v>
      </c>
      <c r="C1209" s="5" t="str">
        <f t="shared" si="743"/>
        <v>CH</v>
      </c>
      <c r="D1209" t="s">
        <v>1334</v>
      </c>
      <c r="E1209" t="s">
        <v>8</v>
      </c>
      <c r="F1209" s="1" cm="1">
        <f t="array" ref="F1209">SUMPRODUCT(("T_C-ICE-NGA-S3"=[1]OUT_TransportEnergyCons!$A$3:$A$1000)*1,("Var_Fin"=[1]OUT_TransportEnergyCons!$B$3:$B$1000)*1,ISNUMBER(SEARCH("NGA",[1]OUT_TransportEnergyCons!$C$3:$C$1000))*1,[1]OUT_TransportEnergyCons!D$3:D$1000)</f>
        <v>4.1990112458669647E-3</v>
      </c>
      <c r="G1209" s="1" cm="1">
        <f t="array" ref="G1209">SUMPRODUCT(("T_C-ICE-NGA-S3"=[1]OUT_TransportEnergyCons!$A$3:$A$1000)*1,("Var_Fin"=[1]OUT_TransportEnergyCons!$B$3:$B$1000)*1,ISNUMBER(SEARCH("NGA",[1]OUT_TransportEnergyCons!$C$3:$C$1000))*1,[1]OUT_TransportEnergyCons!E$3:E$1000)</f>
        <v>1.906767501923668E-3</v>
      </c>
      <c r="H1209" s="1" cm="1">
        <f t="array" ref="H1209">SUMPRODUCT(("T_C-ICE-NGA-S3"=[1]OUT_TransportEnergyCons!$A$3:$A$1000)*1,("Var_Fin"=[1]OUT_TransportEnergyCons!$B$3:$B$1000)*1,ISNUMBER(SEARCH("NGA",[1]OUT_TransportEnergyCons!$C$3:$C$1000))*1,[1]OUT_TransportEnergyCons!F$3:F$1000)</f>
        <v>2.6851624101274646E-3</v>
      </c>
      <c r="I1209" s="1" cm="1">
        <f t="array" ref="I1209">SUMPRODUCT(("T_C-ICE-NGA-S3"=[1]OUT_TransportEnergyCons!$A$3:$A$1000)*1,("Var_Fin"=[1]OUT_TransportEnergyCons!$B$3:$B$1000)*1,ISNUMBER(SEARCH("NGA",[1]OUT_TransportEnergyCons!$C$3:$C$1000))*1,[1]OUT_TransportEnergyCons!G$3:G$1000)</f>
        <v>1.6503836692929514E-3</v>
      </c>
      <c r="J1209" s="1" cm="1">
        <f t="array" ref="J1209">SUMPRODUCT(("T_C-ICE-NGA-S3"=[1]OUT_TransportEnergyCons!$A$3:$A$1000)*1,("Var_Fin"=[1]OUT_TransportEnergyCons!$B$3:$B$1000)*1,ISNUMBER(SEARCH("NGA",[1]OUT_TransportEnergyCons!$C$3:$C$1000))*1,[1]OUT_TransportEnergyCons!H$3:H$1000)</f>
        <v>4.8715976286111236E-4</v>
      </c>
      <c r="K1209" s="1" cm="1">
        <f t="array" ref="K1209">SUMPRODUCT(("T_C-ICE-NGA-S3"=[1]OUT_TransportEnergyCons!$A$3:$A$1000)*1,("Var_Fin"=[1]OUT_TransportEnergyCons!$B$3:$B$1000)*1,ISNUMBER(SEARCH("NGA",[1]OUT_TransportEnergyCons!$C$3:$C$1000))*1,[1]OUT_TransportEnergyCons!I$3:I$1000)</f>
        <v>5.1164852403533473E-5</v>
      </c>
    </row>
    <row r="1210" spans="2:11" x14ac:dyDescent="0.35">
      <c r="B1210" s="5" t="str">
        <f t="shared" si="770"/>
        <v>SPS3</v>
      </c>
      <c r="C1210" s="5" t="str">
        <f t="shared" si="743"/>
        <v>CH</v>
      </c>
      <c r="D1210" t="s">
        <v>1335</v>
      </c>
      <c r="E1210" t="s">
        <v>8</v>
      </c>
      <c r="F1210" s="1" cm="1">
        <f t="array" ref="F1210">SUMPRODUCT(("T_C-ICE-NGA-S4"=[1]OUT_TransportEnergyCons!$A$3:$A$1000)*1,("Var_Fin"=[1]OUT_TransportEnergyCons!$B$3:$B$1000)*1,ISNUMBER(SEARCH("NGA",[1]OUT_TransportEnergyCons!$C$3:$C$1000))*1,[1]OUT_TransportEnergyCons!D$3:D$1000)</f>
        <v>4.8167151602096336E-2</v>
      </c>
      <c r="G1210" s="1" cm="1">
        <f t="array" ref="G1210">SUMPRODUCT(("T_C-ICE-NGA-S4"=[1]OUT_TransportEnergyCons!$A$3:$A$1000)*1,("Var_Fin"=[1]OUT_TransportEnergyCons!$B$3:$B$1000)*1,ISNUMBER(SEARCH("NGA",[1]OUT_TransportEnergyCons!$C$3:$C$1000))*1,[1]OUT_TransportEnergyCons!E$3:E$1000)</f>
        <v>3.3138149657649801E-2</v>
      </c>
      <c r="H1210" s="1" cm="1">
        <f t="array" ref="H1210">SUMPRODUCT(("T_C-ICE-NGA-S4"=[1]OUT_TransportEnergyCons!$A$3:$A$1000)*1,("Var_Fin"=[1]OUT_TransportEnergyCons!$B$3:$B$1000)*1,ISNUMBER(SEARCH("NGA",[1]OUT_TransportEnergyCons!$C$3:$C$1000))*1,[1]OUT_TransportEnergyCons!F$3:F$1000)</f>
        <v>4.3990923882320877E-2</v>
      </c>
      <c r="I1210" s="1" cm="1">
        <f t="array" ref="I1210">SUMPRODUCT(("T_C-ICE-NGA-S4"=[1]OUT_TransportEnergyCons!$A$3:$A$1000)*1,("Var_Fin"=[1]OUT_TransportEnergyCons!$B$3:$B$1000)*1,ISNUMBER(SEARCH("NGA",[1]OUT_TransportEnergyCons!$C$3:$C$1000))*1,[1]OUT_TransportEnergyCons!G$3:G$1000)</f>
        <v>1.0048263221277057E-3</v>
      </c>
      <c r="J1210" s="1" cm="1">
        <f t="array" ref="J1210">SUMPRODUCT(("T_C-ICE-NGA-S4"=[1]OUT_TransportEnergyCons!$A$3:$A$1000)*1,("Var_Fin"=[1]OUT_TransportEnergyCons!$B$3:$B$1000)*1,ISNUMBER(SEARCH("NGA",[1]OUT_TransportEnergyCons!$C$3:$C$1000))*1,[1]OUT_TransportEnergyCons!H$3:H$1000)</f>
        <v>6.9576886827868196E-4</v>
      </c>
      <c r="K1210" s="1" cm="1">
        <f t="array" ref="K1210">SUMPRODUCT(("T_C-ICE-NGA-S4"=[1]OUT_TransportEnergyCons!$A$3:$A$1000)*1,("Var_Fin"=[1]OUT_TransportEnergyCons!$B$3:$B$1000)*1,ISNUMBER(SEARCH("NGA",[1]OUT_TransportEnergyCons!$C$3:$C$1000))*1,[1]OUT_TransportEnergyCons!I$3:I$1000)</f>
        <v>6.845171036077747E-5</v>
      </c>
    </row>
    <row r="1211" spans="2:11" x14ac:dyDescent="0.35">
      <c r="B1211" s="5" t="str">
        <f t="shared" si="770"/>
        <v>SPS3</v>
      </c>
      <c r="C1211" s="5" t="str">
        <f t="shared" si="743"/>
        <v>CH</v>
      </c>
      <c r="D1211" s="2" t="s">
        <v>1133</v>
      </c>
      <c r="E1211" s="2" t="s">
        <v>1132</v>
      </c>
      <c r="F1211" s="3">
        <f>SUM(F1212:F1261)</f>
        <v>49.003583493100116</v>
      </c>
      <c r="G1211" s="3">
        <f t="shared" ref="G1211:K1211" si="771">SUM(G1212:G1261)</f>
        <v>55.671443254460733</v>
      </c>
      <c r="H1211" s="3">
        <f t="shared" si="771"/>
        <v>58.440417992736883</v>
      </c>
      <c r="I1211" s="3">
        <f t="shared" si="771"/>
        <v>62.339642379622326</v>
      </c>
      <c r="J1211" s="3">
        <f t="shared" si="771"/>
        <v>62.344652480324271</v>
      </c>
      <c r="K1211" s="3">
        <f t="shared" si="771"/>
        <v>61.150605237155922</v>
      </c>
    </row>
    <row r="1212" spans="2:11" x14ac:dyDescent="0.35">
      <c r="B1212" s="5" t="str">
        <f t="shared" si="770"/>
        <v>SPS3</v>
      </c>
      <c r="C1212" s="5" t="str">
        <f>C1211</f>
        <v>CH</v>
      </c>
      <c r="D1212" t="s">
        <v>1134</v>
      </c>
      <c r="E1212" t="str">
        <f>E1211</f>
        <v>billion km/yr.</v>
      </c>
      <c r="F1212" s="1" cm="1">
        <f t="array" ref="F1212">SUMPRODUCT(("T_C-BATELCEXT"=[1]OUT_TransportEnergyCons!$A$3:$A$1000)*1,("var_fout"=[1]OUT_TransportEnergyCons!$B$3:$B$1000)*1,ISNUMBER(SEARCH("TPCAR",[1]OUT_TransportEnergyCons!$C$3:$C$1000))*1,[1]OUT_TransportEnergyCons!D$3:D$1000)</f>
        <v>0.41618842676330253</v>
      </c>
      <c r="G1212" s="1" cm="1">
        <f t="array" ref="G1212">SUMPRODUCT(("T_C-BATELCEXT"=[1]OUT_TransportEnergyCons!$A$3:$A$1000)*1,("var_fout"=[1]OUT_TransportEnergyCons!$B$3:$B$1000)*1,ISNUMBER(SEARCH("TPCAR",[1]OUT_TransportEnergyCons!$C$3:$C$1000))*1,[1]OUT_TransportEnergyCons!E$3:E$1000)</f>
        <v>0.17542214997261654</v>
      </c>
      <c r="H1212" s="1" cm="1">
        <f t="array" ref="H1212">SUMPRODUCT(("T_C-BATELCEXT"=[1]OUT_TransportEnergyCons!$A$3:$A$1000)*1,("var_fout"=[1]OUT_TransportEnergyCons!$B$3:$B$1000)*1,ISNUMBER(SEARCH("TPCAR",[1]OUT_TransportEnergyCons!$C$3:$C$1000))*1,[1]OUT_TransportEnergyCons!F$3:F$1000)</f>
        <v>0.27746216620743352</v>
      </c>
      <c r="I1212" s="1" cm="1">
        <f t="array" ref="I1212">SUMPRODUCT(("T_C-BATELCEXT"=[1]OUT_TransportEnergyCons!$A$3:$A$1000)*1,("var_fout"=[1]OUT_TransportEnergyCons!$B$3:$B$1000)*1,ISNUMBER(SEARCH("TPCAR",[1]OUT_TransportEnergyCons!$C$3:$C$1000))*1,[1]OUT_TransportEnergyCons!G$3:G$1000)</f>
        <v>0.13873133503145921</v>
      </c>
      <c r="J1212" s="1" cm="1">
        <f t="array" ref="J1212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2" s="1" cm="1">
        <f t="array" ref="K1212">SUMPRODUCT(("T_C-BATELCEXT"=[1]OUT_TransportEnergyCons!$A$3:$A$1000)*1,("var_fout"=[1]OUT_TransportEnergyCons!$B$3:$B$1000)*1,ISNUMBER(SEARCH("TPCAR",[1]OUT_TransportEnergyCons!$C$3:$C$1000))*1,[1]OUT_TransportEnergyCons!I$3:I$1000)</f>
        <v>0</v>
      </c>
    </row>
    <row r="1213" spans="2:11" x14ac:dyDescent="0.35">
      <c r="B1213" s="5" t="str">
        <f t="shared" si="770"/>
        <v>SPS3</v>
      </c>
      <c r="C1213" s="5" t="str">
        <f t="shared" si="743"/>
        <v>CH</v>
      </c>
      <c r="D1213" t="s">
        <v>1135</v>
      </c>
      <c r="E1213" t="str">
        <f t="shared" ref="E1213:E1261" si="772">E1212</f>
        <v>billion km/yr.</v>
      </c>
      <c r="F1213" s="1" cm="1">
        <f t="array" ref="F1213">SUMPRODUCT(("T_C-BAT-ELC-S1"=[1]OUT_TransportEnergyCons!$A$3:$A$1000)*1,("var_fout"=[1]OUT_TransportEnergyCons!$B$3:$B$1000)*1,ISNUMBER(SEARCH("TPCAR",[1]OUT_TransportEnergyCons!$C$3:$C$1000))*1,[1]OUT_TransportEnergyCons!D$3:D$1000)</f>
        <v>1.4769109966127507E-2</v>
      </c>
      <c r="G1213" s="1" cm="1">
        <f t="array" ref="G1213">SUMPRODUCT(("T_C-BAT-ELC-S1"=[1]OUT_TransportEnergyCons!$A$3:$A$1000)*1,("var_fout"=[1]OUT_TransportEnergyCons!$B$3:$B$1000)*1,ISNUMBER(SEARCH("TPCAR",[1]OUT_TransportEnergyCons!$C$3:$C$1000))*1,[1]OUT_TransportEnergyCons!E$3:E$1000)</f>
        <v>3.8285865021576417E-2</v>
      </c>
      <c r="H1213" s="1" cm="1">
        <f t="array" ref="H1213">SUMPRODUCT(("T_C-BAT-ELC-S1"=[1]OUT_TransportEnergyCons!$A$3:$A$1000)*1,("var_fout"=[1]OUT_TransportEnergyCons!$B$3:$B$1000)*1,ISNUMBER(SEARCH("TPCAR",[1]OUT_TransportEnergyCons!$C$3:$C$1000))*1,[1]OUT_TransportEnergyCons!F$3:F$1000)</f>
        <v>4.7116005519598859E-2</v>
      </c>
      <c r="I1213" s="1" cm="1">
        <f t="array" ref="I1213">SUMPRODUCT(("T_C-BAT-ELC-S1"=[1]OUT_TransportEnergyCons!$A$3:$A$1000)*1,("var_fout"=[1]OUT_TransportEnergyCons!$B$3:$B$1000)*1,ISNUMBER(SEARCH("TPCAR",[1]OUT_TransportEnergyCons!$C$3:$C$1000))*1,[1]OUT_TransportEnergyCons!G$3:G$1000)</f>
        <v>4.1306719142607098E-2</v>
      </c>
      <c r="J1213" s="1" cm="1">
        <f t="array" ref="J1213">SUMPRODUCT(("T_C-BAT-ELC-S1"=[1]OUT_TransportEnergyCons!$A$3:$A$1000)*1,("var_fout"=[1]OUT_TransportEnergyCons!$B$3:$B$1000)*1,ISNUMBER(SEARCH("TPCAR",[1]OUT_TransportEnergyCons!$C$3:$C$1000))*1,[1]OUT_TransportEnergyCons!H$3:H$1000)</f>
        <v>6.8246054221036342E-3</v>
      </c>
      <c r="K1213" s="1" cm="1">
        <f t="array" ref="K1213">SUMPRODUCT(("T_C-BAT-ELC-S1"=[1]OUT_TransportEnergyCons!$A$3:$A$1000)*1,("var_fout"=[1]OUT_TransportEnergyCons!$B$3:$B$1000)*1,ISNUMBER(SEARCH("TPCAR",[1]OUT_TransportEnergyCons!$C$3:$C$1000))*1,[1]OUT_TransportEnergyCons!I$3:I$1000)</f>
        <v>2.4459972470414546</v>
      </c>
    </row>
    <row r="1214" spans="2:11" x14ac:dyDescent="0.35">
      <c r="B1214" s="5" t="str">
        <f t="shared" si="770"/>
        <v>SPS3</v>
      </c>
      <c r="C1214" s="5" t="str">
        <f t="shared" si="743"/>
        <v>CH</v>
      </c>
      <c r="D1214" t="s">
        <v>1136</v>
      </c>
      <c r="E1214" t="str">
        <f t="shared" si="772"/>
        <v>billion km/yr.</v>
      </c>
      <c r="F1214" s="1" cm="1">
        <f t="array" ref="F1214">SUMPRODUCT(("T_C-BAT-ELC-S2"=[1]OUT_TransportEnergyCons!$A$3:$A$1000)*1,("var_fout"=[1]OUT_TransportEnergyCons!$B$3:$B$1000)*1,ISNUMBER(SEARCH("TPCAR",[1]OUT_TransportEnergyCons!$C$3:$C$1000))*1,[1]OUT_TransportEnergyCons!D$3:D$1000)</f>
        <v>9.6903498014576331E-2</v>
      </c>
      <c r="G1214" s="1" cm="1">
        <f t="array" ref="G1214">SUMPRODUCT(("T_C-BAT-ELC-S2"=[1]OUT_TransportEnergyCons!$A$3:$A$1000)*1,("var_fout"=[1]OUT_TransportEnergyCons!$B$3:$B$1000)*1,ISNUMBER(SEARCH("TPCAR",[1]OUT_TransportEnergyCons!$C$3:$C$1000))*1,[1]OUT_TransportEnergyCons!E$3:E$1000)</f>
        <v>0.1529882359191099</v>
      </c>
      <c r="H1214" s="1" cm="1">
        <f t="array" ref="H1214">SUMPRODUCT(("T_C-BAT-ELC-S2"=[1]OUT_TransportEnergyCons!$A$3:$A$1000)*1,("var_fout"=[1]OUT_TransportEnergyCons!$B$3:$B$1000)*1,ISNUMBER(SEARCH("TPCAR",[1]OUT_TransportEnergyCons!$C$3:$C$1000))*1,[1]OUT_TransportEnergyCons!F$3:F$1000)</f>
        <v>0.18906412273654843</v>
      </c>
      <c r="I1214" s="1" cm="1">
        <f t="array" ref="I1214">SUMPRODUCT(("T_C-BAT-ELC-S2"=[1]OUT_TransportEnergyCons!$A$3:$A$1000)*1,("var_fout"=[1]OUT_TransportEnergyCons!$B$3:$B$1000)*1,ISNUMBER(SEARCH("TPCAR",[1]OUT_TransportEnergyCons!$C$3:$C$1000))*1,[1]OUT_TransportEnergyCons!G$3:G$1000)</f>
        <v>0.17762865983201021</v>
      </c>
      <c r="J1214" s="1" cm="1">
        <f t="array" ref="J1214">SUMPRODUCT(("T_C-BAT-ELC-S2"=[1]OUT_TransportEnergyCons!$A$3:$A$1000)*1,("var_fout"=[1]OUT_TransportEnergyCons!$B$3:$B$1000)*1,ISNUMBER(SEARCH("TPCAR",[1]OUT_TransportEnergyCons!$C$3:$C$1000))*1,[1]OUT_TransportEnergyCons!H$3:H$1000)</f>
        <v>14.789924156190299</v>
      </c>
      <c r="K1214" s="1" cm="1">
        <f t="array" ref="K1214">SUMPRODUCT(("T_C-BAT-ELC-S2"=[1]OUT_TransportEnergyCons!$A$3:$A$1000)*1,("var_fout"=[1]OUT_TransportEnergyCons!$B$3:$B$1000)*1,ISNUMBER(SEARCH("TPCAR",[1]OUT_TransportEnergyCons!$C$3:$C$1000))*1,[1]OUT_TransportEnergyCons!I$3:I$1000)</f>
        <v>18.045434016885356</v>
      </c>
    </row>
    <row r="1215" spans="2:11" x14ac:dyDescent="0.35">
      <c r="B1215" s="5" t="str">
        <f t="shared" si="770"/>
        <v>SPS3</v>
      </c>
      <c r="C1215" s="5" t="str">
        <f t="shared" si="743"/>
        <v>CH</v>
      </c>
      <c r="D1215" t="s">
        <v>1137</v>
      </c>
      <c r="E1215" t="str">
        <f t="shared" si="772"/>
        <v>billion km/yr.</v>
      </c>
      <c r="F1215" s="1" cm="1">
        <f t="array" ref="F1215">SUMPRODUCT(("T_C-BAT-ELC-S3"=[1]OUT_TransportEnergyCons!$A$3:$A$1000)*1,("var_fout"=[1]OUT_TransportEnergyCons!$B$3:$B$1000)*1,ISNUMBER(SEARCH("TPCAR",[1]OUT_TransportEnergyCons!$C$3:$C$1000))*1,[1]OUT_TransportEnergyCons!D$3:D$1000)</f>
        <v>6.0765256428261152E-2</v>
      </c>
      <c r="G1215" s="1" cm="1">
        <f t="array" ref="G1215">SUMPRODUCT(("T_C-BAT-ELC-S3"=[1]OUT_TransportEnergyCons!$A$3:$A$1000)*1,("var_fout"=[1]OUT_TransportEnergyCons!$B$3:$B$1000)*1,ISNUMBER(SEARCH("TPCAR",[1]OUT_TransportEnergyCons!$C$3:$C$1000))*1,[1]OUT_TransportEnergyCons!E$3:E$1000)</f>
        <v>0.12773261220132245</v>
      </c>
      <c r="H1215" s="1" cm="1">
        <f t="array" ref="H1215">SUMPRODUCT(("T_C-BAT-ELC-S3"=[1]OUT_TransportEnergyCons!$A$3:$A$1000)*1,("var_fout"=[1]OUT_TransportEnergyCons!$B$3:$B$1000)*1,ISNUMBER(SEARCH("TPCAR",[1]OUT_TransportEnergyCons!$C$3:$C$1000))*1,[1]OUT_TransportEnergyCons!F$3:F$1000)</f>
        <v>0.15704232530680265</v>
      </c>
      <c r="I1215" s="1" cm="1">
        <f t="array" ref="I1215">SUMPRODUCT(("T_C-BAT-ELC-S3"=[1]OUT_TransportEnergyCons!$A$3:$A$1000)*1,("var_fout"=[1]OUT_TransportEnergyCons!$B$3:$B$1000)*1,ISNUMBER(SEARCH("TPCAR",[1]OUT_TransportEnergyCons!$C$3:$C$1000))*1,[1]OUT_TransportEnergyCons!G$3:G$1000)</f>
        <v>5.1259591511033165</v>
      </c>
      <c r="J1215" s="1" cm="1">
        <f t="array" ref="J1215">SUMPRODUCT(("T_C-BAT-ELC-S3"=[1]OUT_TransportEnergyCons!$A$3:$A$1000)*1,("var_fout"=[1]OUT_TransportEnergyCons!$B$3:$B$1000)*1,ISNUMBER(SEARCH("TPCAR",[1]OUT_TransportEnergyCons!$C$3:$C$1000))*1,[1]OUT_TransportEnergyCons!H$3:H$1000)</f>
        <v>10.892094032843746</v>
      </c>
      <c r="K1215" s="1" cm="1">
        <f t="array" ref="K1215">SUMPRODUCT(("T_C-BAT-ELC-S3"=[1]OUT_TransportEnergyCons!$A$3:$A$1000)*1,("var_fout"=[1]OUT_TransportEnergyCons!$B$3:$B$1000)*1,ISNUMBER(SEARCH("TPCAR",[1]OUT_TransportEnergyCons!$C$3:$C$1000))*1,[1]OUT_TransportEnergyCons!I$3:I$1000)</f>
        <v>15.446558388729743</v>
      </c>
    </row>
    <row r="1216" spans="2:11" x14ac:dyDescent="0.35">
      <c r="B1216" s="5" t="str">
        <f t="shared" si="770"/>
        <v>SPS3</v>
      </c>
      <c r="C1216" s="5" t="str">
        <f t="shared" ref="C1216:C1262" si="773">C1215</f>
        <v>CH</v>
      </c>
      <c r="D1216" t="s">
        <v>1138</v>
      </c>
      <c r="E1216" t="str">
        <f t="shared" si="772"/>
        <v>billion km/yr.</v>
      </c>
      <c r="F1216" s="1" cm="1">
        <f t="array" ref="F1216">SUMPRODUCT(("T_C-BAT-ELC-S4"=[1]OUT_TransportEnergyCons!$A$3:$A$1000)*1,("var_fout"=[1]OUT_TransportEnergyCons!$B$3:$B$1000)*1,ISNUMBER(SEARCH("TPCAR",[1]OUT_TransportEnergyCons!$C$3:$C$1000))*1,[1]OUT_TransportEnergyCons!D$3:D$1000)</f>
        <v>0.19417554976353174</v>
      </c>
      <c r="G1216" s="1" cm="1">
        <f t="array" ref="G1216">SUMPRODUCT(("T_C-BAT-ELC-S4"=[1]OUT_TransportEnergyCons!$A$3:$A$1000)*1,("var_fout"=[1]OUT_TransportEnergyCons!$B$3:$B$1000)*1,ISNUMBER(SEARCH("TPCAR",[1]OUT_TransportEnergyCons!$C$3:$C$1000))*1,[1]OUT_TransportEnergyCons!E$3:E$1000)</f>
        <v>1.3462062879672088</v>
      </c>
      <c r="H1216" s="1" cm="1">
        <f t="array" ref="H1216">SUMPRODUCT(("T_C-BAT-ELC-S4"=[1]OUT_TransportEnergyCons!$A$3:$A$1000)*1,("var_fout"=[1]OUT_TransportEnergyCons!$B$3:$B$1000)*1,ISNUMBER(SEARCH("TPCAR",[1]OUT_TransportEnergyCons!$C$3:$C$1000))*1,[1]OUT_TransportEnergyCons!F$3:F$1000)</f>
        <v>4.5814294814777199</v>
      </c>
      <c r="I1216" s="1" cm="1">
        <f t="array" ref="I1216">SUMPRODUCT(("T_C-BAT-ELC-S4"=[1]OUT_TransportEnergyCons!$A$3:$A$1000)*1,("var_fout"=[1]OUT_TransportEnergyCons!$B$3:$B$1000)*1,ISNUMBER(SEARCH("TPCAR",[1]OUT_TransportEnergyCons!$C$3:$C$1000))*1,[1]OUT_TransportEnergyCons!G$3:G$1000)</f>
        <v>4.9435328638472171</v>
      </c>
      <c r="J1216" s="1" cm="1">
        <f t="array" ref="J1216">SUMPRODUCT(("T_C-BAT-ELC-S4"=[1]OUT_TransportEnergyCons!$A$3:$A$1000)*1,("var_fout"=[1]OUT_TransportEnergyCons!$B$3:$B$1000)*1,ISNUMBER(SEARCH("TPCAR",[1]OUT_TransportEnergyCons!$C$3:$C$1000))*1,[1]OUT_TransportEnergyCons!H$3:H$1000)</f>
        <v>20.272465070323538</v>
      </c>
      <c r="K1216" s="1" cm="1">
        <f t="array" ref="K1216">SUMPRODUCT(("T_C-BAT-ELC-S4"=[1]OUT_TransportEnergyCons!$A$3:$A$1000)*1,("var_fout"=[1]OUT_TransportEnergyCons!$B$3:$B$1000)*1,ISNUMBER(SEARCH("TPCAR",[1]OUT_TransportEnergyCons!$C$3:$C$1000))*1,[1]OUT_TransportEnergyCons!I$3:I$1000)</f>
        <v>23.565169981157503</v>
      </c>
    </row>
    <row r="1217" spans="2:11" x14ac:dyDescent="0.35">
      <c r="B1217" s="5" t="str">
        <f t="shared" si="770"/>
        <v>SPS3</v>
      </c>
      <c r="C1217" s="5" t="str">
        <f t="shared" si="773"/>
        <v>CH</v>
      </c>
      <c r="D1217" t="s">
        <v>1139</v>
      </c>
      <c r="E1217" t="str">
        <f t="shared" si="772"/>
        <v>billion km/yr.</v>
      </c>
      <c r="F1217" s="1" cm="1">
        <f t="array" ref="F1217">SUMPRODUCT(("T_C-PEV-GSL-S1"=[1]OUT_TransportEnergyCons!$A$3:$A$1000)*1,("var_fout"=[1]OUT_TransportEnergyCons!$B$3:$B$1000)*1,ISNUMBER(SEARCH("TPCAR",[1]OUT_TransportEnergyCons!$C$3:$C$1000))*1,[1]OUT_TransportEnergyCons!D$3:D$1000)</f>
        <v>2.162440318290604E-4</v>
      </c>
      <c r="G1217" s="1" cm="1">
        <f t="array" ref="G1217">SUMPRODUCT(("T_C-PEV-GSL-S1"=[1]OUT_TransportEnergyCons!$A$3:$A$1000)*1,("var_fout"=[1]OUT_TransportEnergyCons!$B$3:$B$1000)*1,ISNUMBER(SEARCH("TPCAR",[1]OUT_TransportEnergyCons!$C$3:$C$1000))*1,[1]OUT_TransportEnergyCons!E$3:E$1000)</f>
        <v>1.1532572981611978E-3</v>
      </c>
      <c r="H1217" s="1" cm="1">
        <f t="array" ref="H1217">SUMPRODUCT(("T_C-PEV-GSL-S1"=[1]OUT_TransportEnergyCons!$A$3:$A$1000)*1,("var_fout"=[1]OUT_TransportEnergyCons!$B$3:$B$1000)*1,ISNUMBER(SEARCH("TPCAR",[1]OUT_TransportEnergyCons!$C$3:$C$1000))*1,[1]OUT_TransportEnergyCons!F$3:F$1000)</f>
        <v>2.1526105768539319E-3</v>
      </c>
      <c r="I1217" s="1" cm="1">
        <f t="array" ref="I1217">SUMPRODUCT(("T_C-PEV-GSL-S1"=[1]OUT_TransportEnergyCons!$A$3:$A$1000)*1,("var_fout"=[1]OUT_TransportEnergyCons!$B$3:$B$1000)*1,ISNUMBER(SEARCH("TPCAR",[1]OUT_TransportEnergyCons!$C$3:$C$1000))*1,[1]OUT_TransportEnergyCons!G$3:G$1000)</f>
        <v>2.3794745282277193E-3</v>
      </c>
      <c r="J1217" s="1" cm="1">
        <f t="array" ref="J1217">SUMPRODUCT(("T_C-PEV-GSL-S1"=[1]OUT_TransportEnergyCons!$A$3:$A$1000)*1,("var_fout"=[1]OUT_TransportEnergyCons!$B$3:$B$1000)*1,ISNUMBER(SEARCH("TPCAR",[1]OUT_TransportEnergyCons!$C$3:$C$1000))*1,[1]OUT_TransportEnergyCons!H$3:H$1000)</f>
        <v>1.6312005821265316E-3</v>
      </c>
      <c r="K1217" s="1" cm="1">
        <f t="array" ref="K1217">SUMPRODUCT(("T_C-PEV-GSL-S1"=[1]OUT_TransportEnergyCons!$A$3:$A$1000)*1,("var_fout"=[1]OUT_TransportEnergyCons!$B$3:$B$1000)*1,ISNUMBER(SEARCH("TPCAR",[1]OUT_TransportEnergyCons!$C$3:$C$1000))*1,[1]OUT_TransportEnergyCons!I$3:I$1000)</f>
        <v>6.2675415381869648E-4</v>
      </c>
    </row>
    <row r="1218" spans="2:11" x14ac:dyDescent="0.35">
      <c r="B1218" s="5" t="str">
        <f t="shared" si="770"/>
        <v>SPS3</v>
      </c>
      <c r="C1218" s="5" t="str">
        <f t="shared" si="773"/>
        <v>CH</v>
      </c>
      <c r="D1218" t="s">
        <v>1140</v>
      </c>
      <c r="E1218" t="str">
        <f t="shared" si="772"/>
        <v>billion km/yr.</v>
      </c>
      <c r="F1218" s="1" cm="1">
        <f t="array" ref="F1218">SUMPRODUCT(("T_C-PEV-GSL-S2"=[1]OUT_TransportEnergyCons!$A$3:$A$1000)*1,("var_fout"=[1]OUT_TransportEnergyCons!$B$3:$B$1000)*1,ISNUMBER(SEARCH("TPCAR",[1]OUT_TransportEnergyCons!$C$3:$C$1000))*1,[1]OUT_TransportEnergyCons!D$3:D$1000)</f>
        <v>4.8209122097228087E-2</v>
      </c>
      <c r="G1218" s="1" cm="1">
        <f t="array" ref="G1218">SUMPRODUCT(("T_C-PEV-GSL-S2"=[1]OUT_TransportEnergyCons!$A$3:$A$1000)*1,("var_fout"=[1]OUT_TransportEnergyCons!$B$3:$B$1000)*1,ISNUMBER(SEARCH("TPCAR",[1]OUT_TransportEnergyCons!$C$3:$C$1000))*1,[1]OUT_TransportEnergyCons!E$3:E$1000)</f>
        <v>9.9290140029914722E-2</v>
      </c>
      <c r="H1218" s="1" cm="1">
        <f t="array" ref="H1218">SUMPRODUCT(("T_C-PEV-GSL-S2"=[1]OUT_TransportEnergyCons!$A$3:$A$1000)*1,("var_fout"=[1]OUT_TransportEnergyCons!$B$3:$B$1000)*1,ISNUMBER(SEARCH("TPCAR",[1]OUT_TransportEnergyCons!$C$3:$C$1000))*1,[1]OUT_TransportEnergyCons!F$3:F$1000)</f>
        <v>7.5961153114151067E-2</v>
      </c>
      <c r="I1218" s="1" cm="1">
        <f t="array" ref="I1218">SUMPRODUCT(("T_C-PEV-GSL-S2"=[1]OUT_TransportEnergyCons!$A$3:$A$1000)*1,("var_fout"=[1]OUT_TransportEnergyCons!$B$3:$B$1000)*1,ISNUMBER(SEARCH("TPCAR",[1]OUT_TransportEnergyCons!$C$3:$C$1000))*1,[1]OUT_TransportEnergyCons!G$3:G$1000)</f>
        <v>7.1858351802052772E-2</v>
      </c>
      <c r="J1218" s="1" cm="1">
        <f t="array" ref="J1218">SUMPRODUCT(("T_C-PEV-GSL-S2"=[1]OUT_TransportEnergyCons!$A$3:$A$1000)*1,("var_fout"=[1]OUT_TransportEnergyCons!$B$3:$B$1000)*1,ISNUMBER(SEARCH("TPCAR",[1]OUT_TransportEnergyCons!$C$3:$C$1000))*1,[1]OUT_TransportEnergyCons!H$3:H$1000)</f>
        <v>4.5644924337598387E-3</v>
      </c>
      <c r="K1218" s="1" cm="1">
        <f t="array" ref="K1218">SUMPRODUCT(("T_C-PEV-GSL-S2"=[1]OUT_TransportEnergyCons!$A$3:$A$1000)*1,("var_fout"=[1]OUT_TransportEnergyCons!$B$3:$B$1000)*1,ISNUMBER(SEARCH("TPCAR",[1]OUT_TransportEnergyCons!$C$3:$C$1000))*1,[1]OUT_TransportEnergyCons!I$3:I$1000)</f>
        <v>1.2422116392498224E-3</v>
      </c>
    </row>
    <row r="1219" spans="2:11" x14ac:dyDescent="0.35">
      <c r="B1219" s="5" t="str">
        <f t="shared" si="770"/>
        <v>SPS3</v>
      </c>
      <c r="C1219" s="5" t="str">
        <f t="shared" si="773"/>
        <v>CH</v>
      </c>
      <c r="D1219" t="s">
        <v>1141</v>
      </c>
      <c r="E1219" t="str">
        <f t="shared" si="772"/>
        <v>billion km/yr.</v>
      </c>
      <c r="F1219" s="1" cm="1">
        <f t="array" ref="F1219">SUMPRODUCT(("T_C-PEV-GSL-S3"=[1]OUT_TransportEnergyCons!$A$3:$A$1000)*1,("var_fout"=[1]OUT_TransportEnergyCons!$B$3:$B$1000)*1,ISNUMBER(SEARCH("TPCAR",[1]OUT_TransportEnergyCons!$C$3:$C$1000))*1,[1]OUT_TransportEnergyCons!D$3:D$1000)</f>
        <v>4.2778783373333393E-2</v>
      </c>
      <c r="G1219" s="1" cm="1">
        <f t="array" ref="G1219">SUMPRODUCT(("T_C-PEV-GSL-S3"=[1]OUT_TransportEnergyCons!$A$3:$A$1000)*1,("var_fout"=[1]OUT_TransportEnergyCons!$B$3:$B$1000)*1,ISNUMBER(SEARCH("TPCAR",[1]OUT_TransportEnergyCons!$C$3:$C$1000))*1,[1]OUT_TransportEnergyCons!E$3:E$1000)</f>
        <v>0.66530443568191933</v>
      </c>
      <c r="H1219" s="1" cm="1">
        <f t="array" ref="H1219">SUMPRODUCT(("T_C-PEV-GSL-S3"=[1]OUT_TransportEnergyCons!$A$3:$A$1000)*1,("var_fout"=[1]OUT_TransportEnergyCons!$B$3:$B$1000)*1,ISNUMBER(SEARCH("TPCAR",[1]OUT_TransportEnergyCons!$C$3:$C$1000))*1,[1]OUT_TransportEnergyCons!F$3:F$1000)</f>
        <v>1.1872134977274835</v>
      </c>
      <c r="I1219" s="1" cm="1">
        <f t="array" ref="I1219">SUMPRODUCT(("T_C-PEV-GSL-S3"=[1]OUT_TransportEnergyCons!$A$3:$A$1000)*1,("var_fout"=[1]OUT_TransportEnergyCons!$B$3:$B$1000)*1,ISNUMBER(SEARCH("TPCAR",[1]OUT_TransportEnergyCons!$C$3:$C$1000))*1,[1]OUT_TransportEnergyCons!G$3:G$1000)</f>
        <v>1.0100174574617224</v>
      </c>
      <c r="J1219" s="1" cm="1">
        <f t="array" ref="J1219">SUMPRODUCT(("T_C-PEV-GSL-S3"=[1]OUT_TransportEnergyCons!$A$3:$A$1000)*1,("var_fout"=[1]OUT_TransportEnergyCons!$B$3:$B$1000)*1,ISNUMBER(SEARCH("TPCAR",[1]OUT_TransportEnergyCons!$C$3:$C$1000))*1,[1]OUT_TransportEnergyCons!H$3:H$1000)</f>
        <v>3.6738628895987402</v>
      </c>
      <c r="K1219" s="1" cm="1">
        <f t="array" ref="K1219">SUMPRODUCT(("T_C-PEV-GSL-S3"=[1]OUT_TransportEnergyCons!$A$3:$A$1000)*1,("var_fout"=[1]OUT_TransportEnergyCons!$B$3:$B$1000)*1,ISNUMBER(SEARCH("TPCAR",[1]OUT_TransportEnergyCons!$C$3:$C$1000))*1,[1]OUT_TransportEnergyCons!I$3:I$1000)</f>
        <v>0.96541052595866006</v>
      </c>
    </row>
    <row r="1220" spans="2:11" x14ac:dyDescent="0.35">
      <c r="B1220" s="5" t="str">
        <f t="shared" si="770"/>
        <v>SPS3</v>
      </c>
      <c r="C1220" s="5" t="str">
        <f t="shared" si="773"/>
        <v>CH</v>
      </c>
      <c r="D1220" t="s">
        <v>1142</v>
      </c>
      <c r="E1220" t="str">
        <f t="shared" si="772"/>
        <v>billion km/yr.</v>
      </c>
      <c r="F1220" s="1" cm="1">
        <f t="array" ref="F1220">SUMPRODUCT(("T_C-PEV-GSL-S4"=[1]OUT_TransportEnergyCons!$A$3:$A$1000)*1,("var_fout"=[1]OUT_TransportEnergyCons!$B$3:$B$1000)*1,ISNUMBER(SEARCH("TPCAR",[1]OUT_TransportEnergyCons!$C$3:$C$1000))*1,[1]OUT_TransportEnergyCons!D$3:D$1000)</f>
        <v>8.6466696110547414E-2</v>
      </c>
      <c r="G1220" s="1" cm="1">
        <f t="array" ref="G1220">SUMPRODUCT(("T_C-PEV-GSL-S4"=[1]OUT_TransportEnergyCons!$A$3:$A$1000)*1,("var_fout"=[1]OUT_TransportEnergyCons!$B$3:$B$1000)*1,ISNUMBER(SEARCH("TPCAR",[1]OUT_TransportEnergyCons!$C$3:$C$1000))*1,[1]OUT_TransportEnergyCons!E$3:E$1000)</f>
        <v>0.16377874051592356</v>
      </c>
      <c r="H1220" s="1" cm="1">
        <f t="array" ref="H1220">SUMPRODUCT(("T_C-PEV-GSL-S4"=[1]OUT_TransportEnergyCons!$A$3:$A$1000)*1,("var_fout"=[1]OUT_TransportEnergyCons!$B$3:$B$1000)*1,ISNUMBER(SEARCH("TPCAR",[1]OUT_TransportEnergyCons!$C$3:$C$1000))*1,[1]OUT_TransportEnergyCons!F$3:F$1000)</f>
        <v>0.16077836253588104</v>
      </c>
      <c r="I1220" s="1" cm="1">
        <f t="array" ref="I1220">SUMPRODUCT(("T_C-PEV-GSL-S4"=[1]OUT_TransportEnergyCons!$A$3:$A$1000)*1,("var_fout"=[1]OUT_TransportEnergyCons!$B$3:$B$1000)*1,ISNUMBER(SEARCH("TPCAR",[1]OUT_TransportEnergyCons!$C$3:$C$1000))*1,[1]OUT_TransportEnergyCons!G$3:G$1000)</f>
        <v>0.13267742427294091</v>
      </c>
      <c r="J1220" s="1" cm="1">
        <f t="array" ref="J1220">SUMPRODUCT(("T_C-PEV-GSL-S4"=[1]OUT_TransportEnergyCons!$A$3:$A$1000)*1,("var_fout"=[1]OUT_TransportEnergyCons!$B$3:$B$1000)*1,ISNUMBER(SEARCH("TPCAR",[1]OUT_TransportEnergyCons!$C$3:$C$1000))*1,[1]OUT_TransportEnergyCons!H$3:H$1000)</f>
        <v>7.0158242231420399E-3</v>
      </c>
      <c r="K1220" s="1" cm="1">
        <f t="array" ref="K1220">SUMPRODUCT(("T_C-PEV-GSL-S4"=[1]OUT_TransportEnergyCons!$A$3:$A$1000)*1,("var_fout"=[1]OUT_TransportEnergyCons!$B$3:$B$1000)*1,ISNUMBER(SEARCH("TPCAR",[1]OUT_TransportEnergyCons!$C$3:$C$1000))*1,[1]OUT_TransportEnergyCons!I$3:I$1000)</f>
        <v>1.854979001258965E-3</v>
      </c>
    </row>
    <row r="1221" spans="2:11" x14ac:dyDescent="0.35">
      <c r="B1221" s="5" t="str">
        <f t="shared" si="770"/>
        <v>SPS3</v>
      </c>
      <c r="C1221" s="5" t="str">
        <f t="shared" si="773"/>
        <v>CH</v>
      </c>
      <c r="D1221" t="s">
        <v>1143</v>
      </c>
      <c r="E1221" t="str">
        <f t="shared" si="772"/>
        <v>billion km/yr.</v>
      </c>
      <c r="F1221" s="1" cm="1">
        <f t="array" ref="F1221">SUMPRODUCT(("T_C-PEV-DSL-S1"=[1]OUT_TransportEnergyCons!$A$3:$A$1000)*1,("var_fout"=[1]OUT_TransportEnergyCons!$B$3:$B$1000)*1,ISNUMBER(SEARCH("TPCAR",[1]OUT_TransportEnergyCons!$C$3:$C$1000))*1,[1]OUT_TransportEnergyCons!D$3:D$1000)</f>
        <v>1.3451525671265223E-5</v>
      </c>
      <c r="G1221" s="1" cm="1">
        <f t="array" ref="G1221">SUMPRODUCT(("T_C-PEV-DSL-S1"=[1]OUT_TransportEnergyCons!$A$3:$A$1000)*1,("var_fout"=[1]OUT_TransportEnergyCons!$B$3:$B$1000)*1,ISNUMBER(SEARCH("TPCAR",[1]OUT_TransportEnergyCons!$C$3:$C$1000))*1,[1]OUT_TransportEnergyCons!E$3:E$1000)</f>
        <v>9.6781490795257163E-4</v>
      </c>
      <c r="H1221" s="1" cm="1">
        <f t="array" ref="H1221">SUMPRODUCT(("T_C-PEV-DSL-S1"=[1]OUT_TransportEnergyCons!$A$3:$A$1000)*1,("var_fout"=[1]OUT_TransportEnergyCons!$B$3:$B$1000)*1,ISNUMBER(SEARCH("TPCAR",[1]OUT_TransportEnergyCons!$C$3:$C$1000))*1,[1]OUT_TransportEnergyCons!F$3:F$1000)</f>
        <v>1.968908765909039E-3</v>
      </c>
      <c r="I1221" s="1" cm="1">
        <f t="array" ref="I1221">SUMPRODUCT(("T_C-PEV-DSL-S1"=[1]OUT_TransportEnergyCons!$A$3:$A$1000)*1,("var_fout"=[1]OUT_TransportEnergyCons!$B$3:$B$1000)*1,ISNUMBER(SEARCH("TPCAR",[1]OUT_TransportEnergyCons!$C$3:$C$1000))*1,[1]OUT_TransportEnergyCons!G$3:G$1000)</f>
        <v>2.2770227575112331E-3</v>
      </c>
      <c r="J1221" s="1" cm="1">
        <f t="array" ref="J1221">SUMPRODUCT(("T_C-PEV-DSL-S1"=[1]OUT_TransportEnergyCons!$A$3:$A$1000)*1,("var_fout"=[1]OUT_TransportEnergyCons!$B$3:$B$1000)*1,ISNUMBER(SEARCH("TPCAR",[1]OUT_TransportEnergyCons!$C$3:$C$1000))*1,[1]OUT_TransportEnergyCons!H$3:H$1000)</f>
        <v>1.6241005733803788E-3</v>
      </c>
      <c r="K1221" s="1" cm="1">
        <f t="array" ref="K1221">SUMPRODUCT(("T_C-PEV-DSL-S1"=[1]OUT_TransportEnergyCons!$A$3:$A$1000)*1,("var_fout"=[1]OUT_TransportEnergyCons!$B$3:$B$1000)*1,ISNUMBER(SEARCH("TPCAR",[1]OUT_TransportEnergyCons!$C$3:$C$1000))*1,[1]OUT_TransportEnergyCons!I$3:I$1000)</f>
        <v>5.9206306202999614E-4</v>
      </c>
    </row>
    <row r="1222" spans="2:11" x14ac:dyDescent="0.35">
      <c r="B1222" s="5" t="str">
        <f t="shared" si="770"/>
        <v>SPS3</v>
      </c>
      <c r="C1222" s="5" t="str">
        <f t="shared" si="773"/>
        <v>CH</v>
      </c>
      <c r="D1222" t="s">
        <v>1144</v>
      </c>
      <c r="E1222" t="str">
        <f t="shared" si="772"/>
        <v>billion km/yr.</v>
      </c>
      <c r="F1222" s="1" cm="1">
        <f t="array" ref="F1222">SUMPRODUCT(("T_C-PEV-DSL-S2"=[1]OUT_TransportEnergyCons!$A$3:$A$1000)*1,("var_fout"=[1]OUT_TransportEnergyCons!$B$3:$B$1000)*1,ISNUMBER(SEARCH("TPCAR",[1]OUT_TransportEnergyCons!$C$3:$C$1000))*1,[1]OUT_TransportEnergyCons!D$3:D$1000)</f>
        <v>6.0856471375541984E-6</v>
      </c>
      <c r="G1222" s="1" cm="1">
        <f t="array" ref="G1222">SUMPRODUCT(("T_C-PEV-DSL-S2"=[1]OUT_TransportEnergyCons!$A$3:$A$1000)*1,("var_fout"=[1]OUT_TransportEnergyCons!$B$3:$B$1000)*1,ISNUMBER(SEARCH("TPCAR",[1]OUT_TransportEnergyCons!$C$3:$C$1000))*1,[1]OUT_TransportEnergyCons!E$3:E$1000)</f>
        <v>1.2008175645662087E-3</v>
      </c>
      <c r="H1222" s="1" cm="1">
        <f t="array" ref="H1222">SUMPRODUCT(("T_C-PEV-DSL-S2"=[1]OUT_TransportEnergyCons!$A$3:$A$1000)*1,("var_fout"=[1]OUT_TransportEnergyCons!$B$3:$B$1000)*1,ISNUMBER(SEARCH("TPCAR",[1]OUT_TransportEnergyCons!$C$3:$C$1000))*1,[1]OUT_TransportEnergyCons!F$3:F$1000)</f>
        <v>3.4026085056063273E-3</v>
      </c>
      <c r="I1222" s="1" cm="1">
        <f t="array" ref="I1222">SUMPRODUCT(("T_C-PEV-DSL-S2"=[1]OUT_TransportEnergyCons!$A$3:$A$1000)*1,("var_fout"=[1]OUT_TransportEnergyCons!$B$3:$B$1000)*1,ISNUMBER(SEARCH("TPCAR",[1]OUT_TransportEnergyCons!$C$3:$C$1000))*1,[1]OUT_TransportEnergyCons!G$3:G$1000)</f>
        <v>4.7340677726039337E-3</v>
      </c>
      <c r="J1222" s="1" cm="1">
        <f t="array" ref="J1222">SUMPRODUCT(("T_C-PEV-DSL-S2"=[1]OUT_TransportEnergyCons!$A$3:$A$1000)*1,("var_fout"=[1]OUT_TransportEnergyCons!$B$3:$B$1000)*1,ISNUMBER(SEARCH("TPCAR",[1]OUT_TransportEnergyCons!$C$3:$C$1000))*1,[1]OUT_TransportEnergyCons!H$3:H$1000)</f>
        <v>4.7575022568581834E-3</v>
      </c>
      <c r="K1222" s="1" cm="1">
        <f t="array" ref="K1222">SUMPRODUCT(("T_C-PEV-DSL-S2"=[1]OUT_TransportEnergyCons!$A$3:$A$1000)*1,("var_fout"=[1]OUT_TransportEnergyCons!$B$3:$B$1000)*1,ISNUMBER(SEARCH("TPCAR",[1]OUT_TransportEnergyCons!$C$3:$C$1000))*1,[1]OUT_TransportEnergyCons!I$3:I$1000)</f>
        <v>1.173730611775847E-3</v>
      </c>
    </row>
    <row r="1223" spans="2:11" x14ac:dyDescent="0.35">
      <c r="B1223" s="5" t="str">
        <f t="shared" si="770"/>
        <v>SPS3</v>
      </c>
      <c r="C1223" s="5" t="str">
        <f t="shared" si="773"/>
        <v>CH</v>
      </c>
      <c r="D1223" t="s">
        <v>1145</v>
      </c>
      <c r="E1223" t="str">
        <f t="shared" si="772"/>
        <v>billion km/yr.</v>
      </c>
      <c r="F1223" s="1" cm="1">
        <f t="array" ref="F1223">SUMPRODUCT(("T_C-PEV-DSL-S3"=[1]OUT_TransportEnergyCons!$A$3:$A$1000)*1,("var_fout"=[1]OUT_TransportEnergyCons!$B$3:$B$1000)*1,ISNUMBER(SEARCH("TPCAR",[1]OUT_TransportEnergyCons!$C$3:$C$1000))*1,[1]OUT_TransportEnergyCons!D$3:D$1000)</f>
        <v>6.9929930289693913E-5</v>
      </c>
      <c r="G1223" s="1" cm="1">
        <f t="array" ref="G1223">SUMPRODUCT(("T_C-PEV-DSL-S3"=[1]OUT_TransportEnergyCons!$A$3:$A$1000)*1,("var_fout"=[1]OUT_TransportEnergyCons!$B$3:$B$1000)*1,ISNUMBER(SEARCH("TPCAR",[1]OUT_TransportEnergyCons!$C$3:$C$1000))*1,[1]OUT_TransportEnergyCons!E$3:E$1000)</f>
        <v>1.0657209223284289E-2</v>
      </c>
      <c r="H1223" s="1" cm="1">
        <f t="array" ref="H1223">SUMPRODUCT(("T_C-PEV-DSL-S3"=[1]OUT_TransportEnergyCons!$A$3:$A$1000)*1,("var_fout"=[1]OUT_TransportEnergyCons!$B$3:$B$1000)*1,ISNUMBER(SEARCH("TPCAR",[1]OUT_TransportEnergyCons!$C$3:$C$1000))*1,[1]OUT_TransportEnergyCons!F$3:F$1000)</f>
        <v>0.97267566135532435</v>
      </c>
      <c r="I1223" s="1" cm="1">
        <f t="array" ref="I1223">SUMPRODUCT(("T_C-PEV-DSL-S3"=[1]OUT_TransportEnergyCons!$A$3:$A$1000)*1,("var_fout"=[1]OUT_TransportEnergyCons!$B$3:$B$1000)*1,ISNUMBER(SEARCH("TPCAR",[1]OUT_TransportEnergyCons!$C$3:$C$1000))*1,[1]OUT_TransportEnergyCons!G$3:G$1000)</f>
        <v>2.9331821929522541</v>
      </c>
      <c r="J1223" s="1" cm="1">
        <f t="array" ref="J1223">SUMPRODUCT(("T_C-PEV-DSL-S3"=[1]OUT_TransportEnergyCons!$A$3:$A$1000)*1,("var_fout"=[1]OUT_TransportEnergyCons!$B$3:$B$1000)*1,ISNUMBER(SEARCH("TPCAR",[1]OUT_TransportEnergyCons!$C$3:$C$1000))*1,[1]OUT_TransportEnergyCons!H$3:H$1000)</f>
        <v>4.1331863453874362</v>
      </c>
      <c r="K1223" s="1" cm="1">
        <f t="array" ref="K1223">SUMPRODUCT(("T_C-PEV-DSL-S3"=[1]OUT_TransportEnergyCons!$A$3:$A$1000)*1,("var_fout"=[1]OUT_TransportEnergyCons!$B$3:$B$1000)*1,ISNUMBER(SEARCH("TPCAR",[1]OUT_TransportEnergyCons!$C$3:$C$1000))*1,[1]OUT_TransportEnergyCons!I$3:I$1000)</f>
        <v>0.67295929619472761</v>
      </c>
    </row>
    <row r="1224" spans="2:11" x14ac:dyDescent="0.35">
      <c r="B1224" s="5" t="str">
        <f t="shared" si="770"/>
        <v>SPS3</v>
      </c>
      <c r="C1224" s="5" t="str">
        <f t="shared" si="773"/>
        <v>CH</v>
      </c>
      <c r="D1224" t="s">
        <v>1146</v>
      </c>
      <c r="E1224" t="str">
        <f t="shared" si="772"/>
        <v>billion km/yr.</v>
      </c>
      <c r="F1224" s="1" cm="1">
        <f t="array" ref="F1224">SUMPRODUCT(("T_C-PEV-DSL-S4"=[1]OUT_TransportEnergyCons!$A$3:$A$1000)*1,("var_fout"=[1]OUT_TransportEnergyCons!$B$3:$B$1000)*1,ISNUMBER(SEARCH("TPCAR",[1]OUT_TransportEnergyCons!$C$3:$C$1000))*1,[1]OUT_TransportEnergyCons!D$3:D$1000)</f>
        <v>3.0202682417318156E-3</v>
      </c>
      <c r="G1224" s="1" cm="1">
        <f t="array" ref="G1224">SUMPRODUCT(("T_C-PEV-DSL-S4"=[1]OUT_TransportEnergyCons!$A$3:$A$1000)*1,("var_fout"=[1]OUT_TransportEnergyCons!$B$3:$B$1000)*1,ISNUMBER(SEARCH("TPCAR",[1]OUT_TransportEnergyCons!$C$3:$C$1000))*1,[1]OUT_TransportEnergyCons!E$3:E$1000)</f>
        <v>1.2792995446145847E-2</v>
      </c>
      <c r="H1224" s="1" cm="1">
        <f t="array" ref="H1224">SUMPRODUCT(("T_C-PEV-DSL-S4"=[1]OUT_TransportEnergyCons!$A$3:$A$1000)*1,("var_fout"=[1]OUT_TransportEnergyCons!$B$3:$B$1000)*1,ISNUMBER(SEARCH("TPCAR",[1]OUT_TransportEnergyCons!$C$3:$C$1000))*1,[1]OUT_TransportEnergyCons!F$3:F$1000)</f>
        <v>1.7282947138739395E-2</v>
      </c>
      <c r="I1224" s="1" cm="1">
        <f t="array" ref="I1224">SUMPRODUCT(("T_C-PEV-DSL-S4"=[1]OUT_TransportEnergyCons!$A$3:$A$1000)*1,("var_fout"=[1]OUT_TransportEnergyCons!$B$3:$B$1000)*1,ISNUMBER(SEARCH("TPCAR",[1]OUT_TransportEnergyCons!$C$3:$C$1000))*1,[1]OUT_TransportEnergyCons!G$3:G$1000)</f>
        <v>1.8865418671955288E-2</v>
      </c>
      <c r="J1224" s="1" cm="1">
        <f t="array" ref="J1224">SUMPRODUCT(("T_C-PEV-DSL-S4"=[1]OUT_TransportEnergyCons!$A$3:$A$1000)*1,("var_fout"=[1]OUT_TransportEnergyCons!$B$3:$B$1000)*1,ISNUMBER(SEARCH("TPCAR",[1]OUT_TransportEnergyCons!$C$3:$C$1000))*1,[1]OUT_TransportEnergyCons!H$3:H$1000)</f>
        <v>6.7621637715856294E-3</v>
      </c>
      <c r="K1224" s="1" cm="1">
        <f t="array" ref="K1224">SUMPRODUCT(("T_C-PEV-DSL-S4"=[1]OUT_TransportEnergyCons!$A$3:$A$1000)*1,("var_fout"=[1]OUT_TransportEnergyCons!$B$3:$B$1000)*1,ISNUMBER(SEARCH("TPCAR",[1]OUT_TransportEnergyCons!$C$3:$C$1000))*1,[1]OUT_TransportEnergyCons!I$3:I$1000)</f>
        <v>1.6673950841287536E-3</v>
      </c>
    </row>
    <row r="1225" spans="2:11" x14ac:dyDescent="0.35">
      <c r="B1225" s="5" t="str">
        <f t="shared" si="770"/>
        <v>SPS3</v>
      </c>
      <c r="C1225" s="5" t="str">
        <f t="shared" si="773"/>
        <v>CH</v>
      </c>
      <c r="D1225" t="s">
        <v>1147</v>
      </c>
      <c r="E1225" t="str">
        <f t="shared" si="772"/>
        <v>billion km/yr.</v>
      </c>
      <c r="F1225" s="1" cm="1">
        <f t="array" ref="F1225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5" s="1" cm="1">
        <f t="array" ref="G1225">SUMPRODUCT(("T_C-FC-H2O-S1"=[1]OUT_TransportEnergyCons!$A$3:$A$1000)*1,("var_fout"=[1]OUT_TransportEnergyCons!$B$3:$B$1000)*1,ISNUMBER(SEARCH("TPCAR",[1]OUT_TransportEnergyCons!$C$3:$C$1000))*1,[1]OUT_TransportEnergyCons!E$3:E$1000)</f>
        <v>6.2869355083371991E-5</v>
      </c>
      <c r="H1225" s="1" cm="1">
        <f t="array" ref="H1225">SUMPRODUCT(("T_C-FC-H2O-S1"=[1]OUT_TransportEnergyCons!$A$3:$A$1000)*1,("var_fout"=[1]OUT_TransportEnergyCons!$B$3:$B$1000)*1,ISNUMBER(SEARCH("TPCAR",[1]OUT_TransportEnergyCons!$C$3:$C$1000))*1,[1]OUT_TransportEnergyCons!F$3:F$1000)</f>
        <v>1.0485118186340696E-4</v>
      </c>
      <c r="I1225" s="1" cm="1">
        <f t="array" ref="I1225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5" s="1" cm="1">
        <f t="array" ref="J1225">SUMPRODUCT(("T_C-FC-H2O-S1"=[1]OUT_TransportEnergyCons!$A$3:$A$1000)*1,("var_fout"=[1]OUT_TransportEnergyCons!$B$3:$B$1000)*1,ISNUMBER(SEARCH("TPCAR",[1]OUT_TransportEnergyCons!$C$3:$C$1000))*1,[1]OUT_TransportEnergyCons!H$3:H$1000)</f>
        <v>5.9264366216097703E-5</v>
      </c>
      <c r="K1225" s="1" cm="1">
        <f t="array" ref="K1225">SUMPRODUCT(("T_C-FC-H2O-S1"=[1]OUT_TransportEnergyCons!$A$3:$A$1000)*1,("var_fout"=[1]OUT_TransportEnergyCons!$B$3:$B$1000)*1,ISNUMBER(SEARCH("TPCAR",[1]OUT_TransportEnergyCons!$C$3:$C$1000))*1,[1]OUT_TransportEnergyCons!I$3:I$1000)</f>
        <v>4.3007250917897398E-5</v>
      </c>
    </row>
    <row r="1226" spans="2:11" x14ac:dyDescent="0.35">
      <c r="B1226" s="5" t="str">
        <f t="shared" si="770"/>
        <v>SPS3</v>
      </c>
      <c r="C1226" s="5" t="str">
        <f t="shared" si="773"/>
        <v>CH</v>
      </c>
      <c r="D1226" t="s">
        <v>1148</v>
      </c>
      <c r="E1226" t="str">
        <f t="shared" si="772"/>
        <v>billion km/yr.</v>
      </c>
      <c r="F1226" s="1" cm="1">
        <f t="array" ref="F1226">SUMPRODUCT(("T_C-FC-H2O-S2"=[1]OUT_TransportEnergyCons!$A$3:$A$1000)*1,("var_fout"=[1]OUT_TransportEnergyCons!$B$3:$B$1000)*1,ISNUMBER(SEARCH("TPCAR",[1]OUT_TransportEnergyCons!$C$3:$C$1000))*1,[1]OUT_TransportEnergyCons!D$3:D$1000)</f>
        <v>8.2236446083060034E-5</v>
      </c>
      <c r="G1226" s="1" cm="1">
        <f t="array" ref="G1226">SUMPRODUCT(("T_C-FC-H2O-S2"=[1]OUT_TransportEnergyCons!$A$3:$A$1000)*1,("var_fout"=[1]OUT_TransportEnergyCons!$B$3:$B$1000)*1,ISNUMBER(SEARCH("TPCAR",[1]OUT_TransportEnergyCons!$C$3:$C$1000))*1,[1]OUT_TransportEnergyCons!E$3:E$1000)</f>
        <v>1.2116127774431106E-4</v>
      </c>
      <c r="H1226" s="1" cm="1">
        <f t="array" ref="H1226">SUMPRODUCT(("T_C-FC-H2O-S2"=[1]OUT_TransportEnergyCons!$A$3:$A$1000)*1,("var_fout"=[1]OUT_TransportEnergyCons!$B$3:$B$1000)*1,ISNUMBER(SEARCH("TPCAR",[1]OUT_TransportEnergyCons!$C$3:$C$1000))*1,[1]OUT_TransportEnergyCons!F$3:F$1000)</f>
        <v>1.4635475898604363E-4</v>
      </c>
      <c r="I1226" s="1" cm="1">
        <f t="array" ref="I1226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6" s="1" cm="1">
        <f t="array" ref="J1226">SUMPRODUCT(("T_C-FC-H2O-S2"=[1]OUT_TransportEnergyCons!$A$3:$A$1000)*1,("var_fout"=[1]OUT_TransportEnergyCons!$B$3:$B$1000)*1,ISNUMBER(SEARCH("TPCAR",[1]OUT_TransportEnergyCons!$C$3:$C$1000))*1,[1]OUT_TransportEnergyCons!H$3:H$1000)</f>
        <v>6.2828547291088915E-5</v>
      </c>
      <c r="K1226" s="1" cm="1">
        <f t="array" ref="K1226">SUMPRODUCT(("T_C-FC-H2O-S2"=[1]OUT_TransportEnergyCons!$A$3:$A$1000)*1,("var_fout"=[1]OUT_TransportEnergyCons!$B$3:$B$1000)*1,ISNUMBER(SEARCH("TPCAR",[1]OUT_TransportEnergyCons!$C$3:$C$1000))*1,[1]OUT_TransportEnergyCons!I$3:I$1000)</f>
        <v>6.0395350688166671E-5</v>
      </c>
    </row>
    <row r="1227" spans="2:11" x14ac:dyDescent="0.35">
      <c r="B1227" s="5" t="str">
        <f t="shared" si="770"/>
        <v>SPS3</v>
      </c>
      <c r="C1227" s="5" t="str">
        <f t="shared" si="773"/>
        <v>CH</v>
      </c>
      <c r="D1227" t="s">
        <v>1149</v>
      </c>
      <c r="E1227" t="str">
        <f t="shared" si="772"/>
        <v>billion km/yr.</v>
      </c>
      <c r="F1227" s="1" cm="1">
        <f t="array" ref="F1227">SUMPRODUCT(("T_C-FC-H2O-S3"=[1]OUT_TransportEnergyCons!$A$3:$A$1000)*1,("var_fout"=[1]OUT_TransportEnergyCons!$B$3:$B$1000)*1,ISNUMBER(SEARCH("TPCAR",[1]OUT_TransportEnergyCons!$C$3:$C$1000))*1,[1]OUT_TransportEnergyCons!D$3:D$1000)</f>
        <v>6.6789062971640205E-4</v>
      </c>
      <c r="G1227" s="1" cm="1">
        <f t="array" ref="G1227">SUMPRODUCT(("T_C-FC-H2O-S3"=[1]OUT_TransportEnergyCons!$A$3:$A$1000)*1,("var_fout"=[1]OUT_TransportEnergyCons!$B$3:$B$1000)*1,ISNUMBER(SEARCH("TPCAR",[1]OUT_TransportEnergyCons!$C$3:$C$1000))*1,[1]OUT_TransportEnergyCons!E$3:E$1000)</f>
        <v>1.530304521317331E-3</v>
      </c>
      <c r="H1227" s="1" cm="1">
        <f t="array" ref="H1227">SUMPRODUCT(("T_C-FC-H2O-S3"=[1]OUT_TransportEnergyCons!$A$3:$A$1000)*1,("var_fout"=[1]OUT_TransportEnergyCons!$B$3:$B$1000)*1,ISNUMBER(SEARCH("TPCAR",[1]OUT_TransportEnergyCons!$C$3:$C$1000))*1,[1]OUT_TransportEnergyCons!F$3:F$1000)</f>
        <v>1.4337146039062533E-3</v>
      </c>
      <c r="I1227" s="1" cm="1">
        <f t="array" ref="I1227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SUMPRODUCT(("T_C-FC-H2O-S3"=[1]OUT_TransportEnergyCons!$A$3:$A$1000)*1,("var_fout"=[1]OUT_TransportEnergyCons!$B$3:$B$1000)*1,ISNUMBER(SEARCH("TPCAR",[1]OUT_TransportEnergyCons!$C$3:$C$1000))*1,[1]OUT_TransportEnergyCons!H$3:H$1000)</f>
        <v>5.9040386900242486E-5</v>
      </c>
      <c r="K1227" s="1" cm="1">
        <f t="array" ref="K1227">SUMPRODUCT(("T_C-FC-H2O-S3"=[1]OUT_TransportEnergyCons!$A$3:$A$1000)*1,("var_fout"=[1]OUT_TransportEnergyCons!$B$3:$B$1000)*1,ISNUMBER(SEARCH("TPCAR",[1]OUT_TransportEnergyCons!$C$3:$C$1000))*1,[1]OUT_TransportEnergyCons!I$3:I$1000)</f>
        <v>7.0240818439095472E-5</v>
      </c>
    </row>
    <row r="1228" spans="2:11" x14ac:dyDescent="0.35">
      <c r="B1228" s="5" t="str">
        <f t="shared" si="770"/>
        <v>SPS3</v>
      </c>
      <c r="C1228" s="5" t="str">
        <f t="shared" si="773"/>
        <v>CH</v>
      </c>
      <c r="D1228" t="s">
        <v>1150</v>
      </c>
      <c r="E1228" t="str">
        <f t="shared" si="772"/>
        <v>billion km/yr.</v>
      </c>
      <c r="F1228" s="1" cm="1">
        <f t="array" ref="F1228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28" s="1" cm="1">
        <f t="array" ref="G1228">SUMPRODUCT(("T_C-FC-H2O-S4"=[1]OUT_TransportEnergyCons!$A$3:$A$1000)*1,("var_fout"=[1]OUT_TransportEnergyCons!$B$3:$B$1000)*1,ISNUMBER(SEARCH("TPCAR",[1]OUT_TransportEnergyCons!$C$3:$C$1000))*1,[1]OUT_TransportEnergyCons!E$3:E$1000)</f>
        <v>4.150523508239643E-5</v>
      </c>
      <c r="H1228" s="1" cm="1">
        <f t="array" ref="H1228">SUMPRODUCT(("T_C-FC-H2O-S4"=[1]OUT_TransportEnergyCons!$A$3:$A$1000)*1,("var_fout"=[1]OUT_TransportEnergyCons!$B$3:$B$1000)*1,ISNUMBER(SEARCH("TPCAR",[1]OUT_TransportEnergyCons!$C$3:$C$1000))*1,[1]OUT_TransportEnergyCons!F$3:F$1000)</f>
        <v>6.3125668621010381E-5</v>
      </c>
      <c r="I1228" s="1" cm="1">
        <f t="array" ref="I1228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SUMPRODUCT(("T_C-FC-H2O-S4"=[1]OUT_TransportEnergyCons!$A$3:$A$1000)*1,("var_fout"=[1]OUT_TransportEnergyCons!$B$3:$B$1000)*1,ISNUMBER(SEARCH("TPCAR",[1]OUT_TransportEnergyCons!$C$3:$C$1000))*1,[1]OUT_TransportEnergyCons!H$3:H$1000)</f>
        <v>6.4228605464781876E-5</v>
      </c>
      <c r="K1228" s="1" cm="1">
        <f t="array" ref="K1228">SUMPRODUCT(("T_C-FC-H2O-S4"=[1]OUT_TransportEnergyCons!$A$3:$A$1000)*1,("var_fout"=[1]OUT_TransportEnergyCons!$B$3:$B$1000)*1,ISNUMBER(SEARCH("TPCAR",[1]OUT_TransportEnergyCons!$C$3:$C$1000))*1,[1]OUT_TransportEnergyCons!I$3:I$1000)</f>
        <v>7.8624472663653115E-5</v>
      </c>
    </row>
    <row r="1229" spans="2:11" x14ac:dyDescent="0.35">
      <c r="B1229" s="5" t="str">
        <f t="shared" si="770"/>
        <v>SPS3</v>
      </c>
      <c r="C1229" s="5" t="str">
        <f t="shared" si="773"/>
        <v>CH</v>
      </c>
      <c r="D1229" t="s">
        <v>1234</v>
      </c>
      <c r="E1229" t="str">
        <f t="shared" si="772"/>
        <v>billion km/yr.</v>
      </c>
      <c r="F1229" s="1" cm="1">
        <f t="array" ref="F1229">SUMPRODUCT(("T_C-HYBGSLEXT"=[1]OUT_TransportEnergyCons!$A$3:$A$1000)*1,("var_fout"=[1]OUT_TransportEnergyCons!$B$3:$B$1000)*1,ISNUMBER(SEARCH("TPCAR",[1]OUT_TransportEnergyCons!$C$3:$C$1000))*1,[1]OUT_TransportEnergyCons!D$3:D$1000)</f>
        <v>0.61924970814035329</v>
      </c>
      <c r="G1229" s="1" cm="1">
        <f t="array" ref="G1229">SUMPRODUCT(("T_C-HYBGSLEXT"=[1]OUT_TransportEnergyCons!$A$3:$A$1000)*1,("var_fout"=[1]OUT_TransportEnergyCons!$B$3:$B$1000)*1,ISNUMBER(SEARCH("TPCAR",[1]OUT_TransportEnergyCons!$C$3:$C$1000))*1,[1]OUT_TransportEnergyCons!E$3:E$1000)</f>
        <v>0.62769576980367969</v>
      </c>
      <c r="H1229" s="1" cm="1">
        <f t="array" ref="H1229">SUMPRODUCT(("T_C-HYBGSLEXT"=[1]OUT_TransportEnergyCons!$A$3:$A$1000)*1,("var_fout"=[1]OUT_TransportEnergyCons!$B$3:$B$1000)*1,ISNUMBER(SEARCH("TPCAR",[1]OUT_TransportEnergyCons!$C$3:$C$1000))*1,[1]OUT_TransportEnergyCons!F$3:F$1000)</f>
        <v>0.48283408291423369</v>
      </c>
      <c r="I1229" s="1" cm="1">
        <f t="array" ref="I1229">SUMPRODUCT(("T_C-HYBGSLEXT"=[1]OUT_TransportEnergyCons!$A$3:$A$1000)*1,("var_fout"=[1]OUT_TransportEnergyCons!$B$3:$B$1000)*1,ISNUMBER(SEARCH("TPCAR",[1]OUT_TransportEnergyCons!$C$3:$C$1000))*1,[1]OUT_TransportEnergyCons!G$3:G$1000)</f>
        <v>0.24141724750856322</v>
      </c>
      <c r="J1229" s="1" cm="1">
        <f t="array" ref="J1229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29" s="1" cm="1">
        <f t="array" ref="K1229">SUMPRODUCT(("T_C-HYBGSLEXT"=[1]OUT_TransportEnergyCons!$A$3:$A$1000)*1,("var_fout"=[1]OUT_TransportEnergyCons!$B$3:$B$1000)*1,ISNUMBER(SEARCH("TPCAR",[1]OUT_TransportEnergyCons!$C$3:$C$1000))*1,[1]OUT_TransportEnergyCons!I$3:I$1000)</f>
        <v>0</v>
      </c>
    </row>
    <row r="1230" spans="2:11" x14ac:dyDescent="0.35">
      <c r="B1230" s="5" t="str">
        <f t="shared" si="770"/>
        <v>SPS3</v>
      </c>
      <c r="C1230" s="5" t="str">
        <f t="shared" si="773"/>
        <v>CH</v>
      </c>
      <c r="D1230" t="s">
        <v>1151</v>
      </c>
      <c r="E1230" t="str">
        <f t="shared" si="772"/>
        <v>billion km/yr.</v>
      </c>
      <c r="F1230" s="1" cm="1">
        <f t="array" ref="F1230">SUMPRODUCT(("T_C-HY-GSL-S1"=[1]OUT_TransportEnergyCons!$A$3:$A$1000)*1,("var_fout"=[1]OUT_TransportEnergyCons!$B$3:$B$1000)*1,ISNUMBER(SEARCH("TPCAR",[1]OUT_TransportEnergyCons!$C$3:$C$1000))*1,[1]OUT_TransportEnergyCons!D$3:D$1000)</f>
        <v>5.0806137278218262E-2</v>
      </c>
      <c r="G1230" s="1" cm="1">
        <f t="array" ref="G1230">SUMPRODUCT(("T_C-HY-GSL-S1"=[1]OUT_TransportEnergyCons!$A$3:$A$1000)*1,("var_fout"=[1]OUT_TransportEnergyCons!$B$3:$B$1000)*1,ISNUMBER(SEARCH("TPCAR",[1]OUT_TransportEnergyCons!$C$3:$C$1000))*1,[1]OUT_TransportEnergyCons!E$3:E$1000)</f>
        <v>6.0360695765686902E-2</v>
      </c>
      <c r="H1230" s="1" cm="1">
        <f t="array" ref="H1230">SUMPRODUCT(("T_C-HY-GSL-S1"=[1]OUT_TransportEnergyCons!$A$3:$A$1000)*1,("var_fout"=[1]OUT_TransportEnergyCons!$B$3:$B$1000)*1,ISNUMBER(SEARCH("TPCAR",[1]OUT_TransportEnergyCons!$C$3:$C$1000))*1,[1]OUT_TransportEnergyCons!F$3:F$1000)</f>
        <v>5.4170934058014257E-2</v>
      </c>
      <c r="I1230" s="1" cm="1">
        <f t="array" ref="I1230">SUMPRODUCT(("T_C-HY-GSL-S1"=[1]OUT_TransportEnergyCons!$A$3:$A$1000)*1,("var_fout"=[1]OUT_TransportEnergyCons!$B$3:$B$1000)*1,ISNUMBER(SEARCH("TPCAR",[1]OUT_TransportEnergyCons!$C$3:$C$1000))*1,[1]OUT_TransportEnergyCons!G$3:G$1000)</f>
        <v>0.90585943112605438</v>
      </c>
      <c r="J1230" s="1" cm="1">
        <f t="array" ref="J1230">SUMPRODUCT(("T_C-HY-GSL-S1"=[1]OUT_TransportEnergyCons!$A$3:$A$1000)*1,("var_fout"=[1]OUT_TransportEnergyCons!$B$3:$B$1000)*1,ISNUMBER(SEARCH("TPCAR",[1]OUT_TransportEnergyCons!$C$3:$C$1000))*1,[1]OUT_TransportEnergyCons!H$3:H$1000)</f>
        <v>1.6443501988366833</v>
      </c>
      <c r="K1230" s="1" cm="1">
        <f t="array" ref="K1230">SUMPRODUCT(("T_C-HY-GSL-S1"=[1]OUT_TransportEnergyCons!$A$3:$A$1000)*1,("var_fout"=[1]OUT_TransportEnergyCons!$B$3:$B$1000)*1,ISNUMBER(SEARCH("TPCAR",[1]OUT_TransportEnergyCons!$C$3:$C$1000))*1,[1]OUT_TransportEnergyCons!I$3:I$1000)</f>
        <v>1.3967461588511044E-4</v>
      </c>
    </row>
    <row r="1231" spans="2:11" x14ac:dyDescent="0.35">
      <c r="B1231" s="5" t="str">
        <f t="shared" si="770"/>
        <v>SPS3</v>
      </c>
      <c r="C1231" s="5" t="str">
        <f t="shared" si="773"/>
        <v>CH</v>
      </c>
      <c r="D1231" t="s">
        <v>1152</v>
      </c>
      <c r="E1231" t="str">
        <f t="shared" si="772"/>
        <v>billion km/yr.</v>
      </c>
      <c r="F1231" s="1" cm="1">
        <f t="array" ref="F1231">SUMPRODUCT(("T_C-HY-GSL-S2"=[1]OUT_TransportEnergyCons!$A$3:$A$1000)*1,("var_fout"=[1]OUT_TransportEnergyCons!$B$3:$B$1000)*1,ISNUMBER(SEARCH("TPCAR",[1]OUT_TransportEnergyCons!$C$3:$C$1000))*1,[1]OUT_TransportEnergyCons!D$3:D$1000)</f>
        <v>0.21765044606332656</v>
      </c>
      <c r="G1231" s="1" cm="1">
        <f t="array" ref="G1231">SUMPRODUCT(("T_C-HY-GSL-S2"=[1]OUT_TransportEnergyCons!$A$3:$A$1000)*1,("var_fout"=[1]OUT_TransportEnergyCons!$B$3:$B$1000)*1,ISNUMBER(SEARCH("TPCAR",[1]OUT_TransportEnergyCons!$C$3:$C$1000))*1,[1]OUT_TransportEnergyCons!E$3:E$1000)</f>
        <v>1.0417645804756017</v>
      </c>
      <c r="H1231" s="1" cm="1">
        <f t="array" ref="H1231">SUMPRODUCT(("T_C-HY-GSL-S2"=[1]OUT_TransportEnergyCons!$A$3:$A$1000)*1,("var_fout"=[1]OUT_TransportEnergyCons!$B$3:$B$1000)*1,ISNUMBER(SEARCH("TPCAR",[1]OUT_TransportEnergyCons!$C$3:$C$1000))*1,[1]OUT_TransportEnergyCons!F$3:F$1000)</f>
        <v>2.8569319206743011</v>
      </c>
      <c r="I1231" s="1" cm="1">
        <f t="array" ref="I1231">SUMPRODUCT(("T_C-HY-GSL-S2"=[1]OUT_TransportEnergyCons!$A$3:$A$1000)*1,("var_fout"=[1]OUT_TransportEnergyCons!$B$3:$B$1000)*1,ISNUMBER(SEARCH("TPCAR",[1]OUT_TransportEnergyCons!$C$3:$C$1000))*1,[1]OUT_TransportEnergyCons!G$3:G$1000)</f>
        <v>6.252462121028711</v>
      </c>
      <c r="J1231" s="1" cm="1">
        <f t="array" ref="J1231">SUMPRODUCT(("T_C-HY-GSL-S2"=[1]OUT_TransportEnergyCons!$A$3:$A$1000)*1,("var_fout"=[1]OUT_TransportEnergyCons!$B$3:$B$1000)*1,ISNUMBER(SEARCH("TPCAR",[1]OUT_TransportEnergyCons!$C$3:$C$1000))*1,[1]OUT_TransportEnergyCons!H$3:H$1000)</f>
        <v>1.6941318665431051</v>
      </c>
      <c r="K1231" s="1" cm="1">
        <f t="array" ref="K1231">SUMPRODUCT(("T_C-HY-GSL-S2"=[1]OUT_TransportEnergyCons!$A$3:$A$1000)*1,("var_fout"=[1]OUT_TransportEnergyCons!$B$3:$B$1000)*1,ISNUMBER(SEARCH("TPCAR",[1]OUT_TransportEnergyCons!$C$3:$C$1000))*1,[1]OUT_TransportEnergyCons!I$3:I$1000)</f>
        <v>1.3763962660155526E-4</v>
      </c>
    </row>
    <row r="1232" spans="2:11" x14ac:dyDescent="0.35">
      <c r="B1232" s="5" t="str">
        <f t="shared" si="770"/>
        <v>SPS3</v>
      </c>
      <c r="C1232" s="5" t="str">
        <f t="shared" si="773"/>
        <v>CH</v>
      </c>
      <c r="D1232" t="s">
        <v>1153</v>
      </c>
      <c r="E1232" t="str">
        <f t="shared" si="772"/>
        <v>billion km/yr.</v>
      </c>
      <c r="F1232" s="1" cm="1">
        <f t="array" ref="F1232">SUMPRODUCT(("T_C-HY-GSL-S3"=[1]OUT_TransportEnergyCons!$A$3:$A$1000)*1,("var_fout"=[1]OUT_TransportEnergyCons!$B$3:$B$1000)*1,ISNUMBER(SEARCH("TPCAR",[1]OUT_TransportEnergyCons!$C$3:$C$1000))*1,[1]OUT_TransportEnergyCons!D$3:D$1000)</f>
        <v>0.19817889289934004</v>
      </c>
      <c r="G1232" s="1" cm="1">
        <f t="array" ref="G1232">SUMPRODUCT(("T_C-HY-GSL-S3"=[1]OUT_TransportEnergyCons!$A$3:$A$1000)*1,("var_fout"=[1]OUT_TransportEnergyCons!$B$3:$B$1000)*1,ISNUMBER(SEARCH("TPCAR",[1]OUT_TransportEnergyCons!$C$3:$C$1000))*1,[1]OUT_TransportEnergyCons!E$3:E$1000)</f>
        <v>1.340861746963772</v>
      </c>
      <c r="H1232" s="1" cm="1">
        <f t="array" ref="H1232">SUMPRODUCT(("T_C-HY-GSL-S3"=[1]OUT_TransportEnergyCons!$A$3:$A$1000)*1,("var_fout"=[1]OUT_TransportEnergyCons!$B$3:$B$1000)*1,ISNUMBER(SEARCH("TPCAR",[1]OUT_TransportEnergyCons!$C$3:$C$1000))*1,[1]OUT_TransportEnergyCons!F$3:F$1000)</f>
        <v>1.2712424550198742</v>
      </c>
      <c r="I1232" s="1" cm="1">
        <f t="array" ref="I1232">SUMPRODUCT(("T_C-HY-GSL-S3"=[1]OUT_TransportEnergyCons!$A$3:$A$1000)*1,("var_fout"=[1]OUT_TransportEnergyCons!$B$3:$B$1000)*1,ISNUMBER(SEARCH("TPCAR",[1]OUT_TransportEnergyCons!$C$3:$C$1000))*1,[1]OUT_TransportEnergyCons!G$3:G$1000)</f>
        <v>1.0282549985935778</v>
      </c>
      <c r="J1232" s="1" cm="1">
        <f t="array" ref="J1232">SUMPRODUCT(("T_C-HY-GSL-S3"=[1]OUT_TransportEnergyCons!$A$3:$A$1000)*1,("var_fout"=[1]OUT_TransportEnergyCons!$B$3:$B$1000)*1,ISNUMBER(SEARCH("TPCAR",[1]OUT_TransportEnergyCons!$C$3:$C$1000))*1,[1]OUT_TransportEnergyCons!H$3:H$1000)</f>
        <v>9.3396059783308009E-4</v>
      </c>
      <c r="K1232" s="1" cm="1">
        <f t="array" ref="K1232">SUMPRODUCT(("T_C-HY-GSL-S3"=[1]OUT_TransportEnergyCons!$A$3:$A$1000)*1,("var_fout"=[1]OUT_TransportEnergyCons!$B$3:$B$1000)*1,ISNUMBER(SEARCH("TPCAR",[1]OUT_TransportEnergyCons!$C$3:$C$1000))*1,[1]OUT_TransportEnergyCons!I$3:I$1000)</f>
        <v>1.0459548904752831E-4</v>
      </c>
    </row>
    <row r="1233" spans="2:11" x14ac:dyDescent="0.35">
      <c r="B1233" s="5" t="str">
        <f t="shared" si="770"/>
        <v>SPS3</v>
      </c>
      <c r="C1233" s="5" t="str">
        <f t="shared" si="773"/>
        <v>CH</v>
      </c>
      <c r="D1233" t="s">
        <v>1154</v>
      </c>
      <c r="E1233" t="str">
        <f t="shared" si="772"/>
        <v>billion km/yr.</v>
      </c>
      <c r="F1233" s="1" cm="1">
        <f t="array" ref="F1233">SUMPRODUCT(("T_C-HY-GSL-S4"=[1]OUT_TransportEnergyCons!$A$3:$A$1000)*1,("var_fout"=[1]OUT_TransportEnergyCons!$B$3:$B$1000)*1,ISNUMBER(SEARCH("TPCAR",[1]OUT_TransportEnergyCons!$C$3:$C$1000))*1,[1]OUT_TransportEnergyCons!D$3:D$1000)</f>
        <v>0.10359088291747892</v>
      </c>
      <c r="G1233" s="1" cm="1">
        <f t="array" ref="G1233">SUMPRODUCT(("T_C-HY-GSL-S4"=[1]OUT_TransportEnergyCons!$A$3:$A$1000)*1,("var_fout"=[1]OUT_TransportEnergyCons!$B$3:$B$1000)*1,ISNUMBER(SEARCH("TPCAR",[1]OUT_TransportEnergyCons!$C$3:$C$1000))*1,[1]OUT_TransportEnergyCons!E$3:E$1000)</f>
        <v>0.18438763652972487</v>
      </c>
      <c r="H1233" s="1" cm="1">
        <f t="array" ref="H1233">SUMPRODUCT(("T_C-HY-GSL-S4"=[1]OUT_TransportEnergyCons!$A$3:$A$1000)*1,("var_fout"=[1]OUT_TransportEnergyCons!$B$3:$B$1000)*1,ISNUMBER(SEARCH("TPCAR",[1]OUT_TransportEnergyCons!$C$3:$C$1000))*1,[1]OUT_TransportEnergyCons!F$3:F$1000)</f>
        <v>0.17725708373708957</v>
      </c>
      <c r="I1233" s="1" cm="1">
        <f t="array" ref="I1233">SUMPRODUCT(("T_C-HY-GSL-S4"=[1]OUT_TransportEnergyCons!$A$3:$A$1000)*1,("var_fout"=[1]OUT_TransportEnergyCons!$B$3:$B$1000)*1,ISNUMBER(SEARCH("TPCAR",[1]OUT_TransportEnergyCons!$C$3:$C$1000))*1,[1]OUT_TransportEnergyCons!G$3:G$1000)</f>
        <v>0.14958822410468739</v>
      </c>
      <c r="J1233" s="1" cm="1">
        <f t="array" ref="J1233">SUMPRODUCT(("T_C-HY-GSL-S4"=[1]OUT_TransportEnergyCons!$A$3:$A$1000)*1,("var_fout"=[1]OUT_TransportEnergyCons!$B$3:$B$1000)*1,ISNUMBER(SEARCH("TPCAR",[1]OUT_TransportEnergyCons!$C$3:$C$1000))*1,[1]OUT_TransportEnergyCons!H$3:H$1000)</f>
        <v>1.1138438839715546E-3</v>
      </c>
      <c r="K1233" s="1" cm="1">
        <f t="array" ref="K1233">SUMPRODUCT(("T_C-HY-GSL-S4"=[1]OUT_TransportEnergyCons!$A$3:$A$1000)*1,("var_fout"=[1]OUT_TransportEnergyCons!$B$3:$B$1000)*1,ISNUMBER(SEARCH("TPCAR",[1]OUT_TransportEnergyCons!$C$3:$C$1000))*1,[1]OUT_TransportEnergyCons!I$3:I$1000)</f>
        <v>1.4539150820361307E-4</v>
      </c>
    </row>
    <row r="1234" spans="2:11" x14ac:dyDescent="0.35">
      <c r="B1234" s="5" t="str">
        <f t="shared" si="770"/>
        <v>SPS3</v>
      </c>
      <c r="C1234" s="5" t="str">
        <f t="shared" si="773"/>
        <v>CH</v>
      </c>
      <c r="D1234" t="s">
        <v>1155</v>
      </c>
      <c r="E1234" t="str">
        <f t="shared" si="772"/>
        <v>billion km/yr.</v>
      </c>
      <c r="F1234" s="1" cm="1">
        <f t="array" ref="F1234">SUMPRODUCT(("T_C-ICEGSLEXT"=[1]OUT_TransportEnergyCons!$A$3:$A$1000)*1,("var_fout"=[1]OUT_TransportEnergyCons!$B$3:$B$1000)*1,ISNUMBER(SEARCH("TPCAR",[1]OUT_TransportEnergyCons!$C$3:$C$1000))*1,[1]OUT_TransportEnergyCons!D$3:D$1000)</f>
        <v>18.302990370600099</v>
      </c>
      <c r="G1234" s="1" cm="1">
        <f t="array" ref="G1234">SUMPRODUCT(("T_C-ICEGSLEXT"=[1]OUT_TransportEnergyCons!$A$3:$A$1000)*1,("var_fout"=[1]OUT_TransportEnergyCons!$B$3:$B$1000)*1,ISNUMBER(SEARCH("TPCAR",[1]OUT_TransportEnergyCons!$C$3:$C$1000))*1,[1]OUT_TransportEnergyCons!E$3:E$1000)</f>
        <v>15.619783163986352</v>
      </c>
      <c r="H1234" s="1" cm="1">
        <f t="array" ref="H1234">SUMPRODUCT(("T_C-ICEGSLEXT"=[1]OUT_TransportEnergyCons!$A$3:$A$1000)*1,("var_fout"=[1]OUT_TransportEnergyCons!$B$3:$B$1000)*1,ISNUMBER(SEARCH("TPCAR",[1]OUT_TransportEnergyCons!$C$3:$C$1000))*1,[1]OUT_TransportEnergyCons!F$3:F$1000)</f>
        <v>12.865225614013051</v>
      </c>
      <c r="I1234" s="1" cm="1">
        <f t="array" ref="I1234">SUMPRODUCT(("T_C-ICEGSLEXT"=[1]OUT_TransportEnergyCons!$A$3:$A$1000)*1,("var_fout"=[1]OUT_TransportEnergyCons!$B$3:$B$1000)*1,ISNUMBER(SEARCH("TPCAR",[1]OUT_TransportEnergyCons!$C$3:$C$1000))*1,[1]OUT_TransportEnergyCons!G$3:G$1000)</f>
        <v>4.1152276039092088</v>
      </c>
      <c r="J1234" s="1" cm="1">
        <f t="array" ref="J1234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4" s="1" cm="1">
        <f t="array" ref="K1234">SUMPRODUCT(("T_C-ICEGSLEXT"=[1]OUT_TransportEnergyCons!$A$3:$A$1000)*1,("var_fout"=[1]OUT_TransportEnergyCons!$B$3:$B$1000)*1,ISNUMBER(SEARCH("TPCAR",[1]OUT_TransportEnergyCons!$C$3:$C$1000))*1,[1]OUT_TransportEnergyCons!I$3:I$1000)</f>
        <v>0</v>
      </c>
    </row>
    <row r="1235" spans="2:11" x14ac:dyDescent="0.35">
      <c r="B1235" s="5" t="str">
        <f t="shared" si="770"/>
        <v>SPS3</v>
      </c>
      <c r="C1235" s="5" t="str">
        <f t="shared" si="773"/>
        <v>CH</v>
      </c>
      <c r="D1235" t="s">
        <v>1156</v>
      </c>
      <c r="E1235" t="str">
        <f t="shared" si="772"/>
        <v>billion km/yr.</v>
      </c>
      <c r="F1235" s="1" cm="1">
        <f t="array" ref="F1235">SUMPRODUCT(("T_C-ICE-GSL-S1"=[1]OUT_TransportEnergyCons!$A$3:$A$1000)*1,("var_fout"=[1]OUT_TransportEnergyCons!$B$3:$B$1000)*1,ISNUMBER(SEARCH("TPCAR",[1]OUT_TransportEnergyCons!$C$3:$C$1000))*1,[1]OUT_TransportEnergyCons!D$3:D$1000)</f>
        <v>0.31104321956027681</v>
      </c>
      <c r="G1235" s="1" cm="1">
        <f t="array" ref="G1235">SUMPRODUCT(("T_C-ICE-GSL-S1"=[1]OUT_TransportEnergyCons!$A$3:$A$1000)*1,("var_fout"=[1]OUT_TransportEnergyCons!$B$3:$B$1000)*1,ISNUMBER(SEARCH("TPCAR",[1]OUT_TransportEnergyCons!$C$3:$C$1000))*1,[1]OUT_TransportEnergyCons!E$3:E$1000)</f>
        <v>0.26437428561622384</v>
      </c>
      <c r="H1235" s="1" cm="1">
        <f t="array" ref="H1235">SUMPRODUCT(("T_C-ICE-GSL-S1"=[1]OUT_TransportEnergyCons!$A$3:$A$1000)*1,("var_fout"=[1]OUT_TransportEnergyCons!$B$3:$B$1000)*1,ISNUMBER(SEARCH("TPCAR",[1]OUT_TransportEnergyCons!$C$3:$C$1000))*1,[1]OUT_TransportEnergyCons!F$3:F$1000)</f>
        <v>0.7060075227075614</v>
      </c>
      <c r="I1235" s="1" cm="1">
        <f t="array" ref="I1235">SUMPRODUCT(("T_C-ICE-GSL-S1"=[1]OUT_TransportEnergyCons!$A$3:$A$1000)*1,("var_fout"=[1]OUT_TransportEnergyCons!$B$3:$B$1000)*1,ISNUMBER(SEARCH("TPCAR",[1]OUT_TransportEnergyCons!$C$3:$C$1000))*1,[1]OUT_TransportEnergyCons!G$3:G$1000)</f>
        <v>0.59286724005436264</v>
      </c>
      <c r="J1235" s="1" cm="1">
        <f t="array" ref="J1235">SUMPRODUCT(("T_C-ICE-GSL-S1"=[1]OUT_TransportEnergyCons!$A$3:$A$1000)*1,("var_fout"=[1]OUT_TransportEnergyCons!$B$3:$B$1000)*1,ISNUMBER(SEARCH("TPCAR",[1]OUT_TransportEnergyCons!$C$3:$C$1000))*1,[1]OUT_TransportEnergyCons!H$3:H$1000)</f>
        <v>3.8985455325510621E-2</v>
      </c>
      <c r="K1235" s="1" cm="1">
        <f t="array" ref="K1235">SUMPRODUCT(("T_C-ICE-GSL-S1"=[1]OUT_TransportEnergyCons!$A$3:$A$1000)*1,("var_fout"=[1]OUT_TransportEnergyCons!$B$3:$B$1000)*1,ISNUMBER(SEARCH("TPCAR",[1]OUT_TransportEnergyCons!$C$3:$C$1000))*1,[1]OUT_TransportEnergyCons!I$3:I$1000)</f>
        <v>2.0358629666716978E-5</v>
      </c>
    </row>
    <row r="1236" spans="2:11" x14ac:dyDescent="0.35">
      <c r="B1236" s="5" t="str">
        <f t="shared" si="770"/>
        <v>SPS3</v>
      </c>
      <c r="C1236" s="5" t="str">
        <f t="shared" si="773"/>
        <v>CH</v>
      </c>
      <c r="D1236" t="s">
        <v>1157</v>
      </c>
      <c r="E1236" t="str">
        <f t="shared" si="772"/>
        <v>billion km/yr.</v>
      </c>
      <c r="F1236" s="1" cm="1">
        <f t="array" ref="F1236">SUMPRODUCT(("T_C-ICE-GSL-S2"=[1]OUT_TransportEnergyCons!$A$3:$A$1000)*1,("var_fout"=[1]OUT_TransportEnergyCons!$B$3:$B$1000)*1,ISNUMBER(SEARCH("TPCAR",[1]OUT_TransportEnergyCons!$C$3:$C$1000))*1,[1]OUT_TransportEnergyCons!D$3:D$1000)</f>
        <v>2.0649341431541668</v>
      </c>
      <c r="G1236" s="1" cm="1">
        <f t="array" ref="G1236">SUMPRODUCT(("T_C-ICE-GSL-S2"=[1]OUT_TransportEnergyCons!$A$3:$A$1000)*1,("var_fout"=[1]OUT_TransportEnergyCons!$B$3:$B$1000)*1,ISNUMBER(SEARCH("TPCAR",[1]OUT_TransportEnergyCons!$C$3:$C$1000))*1,[1]OUT_TransportEnergyCons!E$3:E$1000)</f>
        <v>3.2089996270735637</v>
      </c>
      <c r="H1236" s="1" cm="1">
        <f t="array" ref="H1236">SUMPRODUCT(("T_C-ICE-GSL-S2"=[1]OUT_TransportEnergyCons!$A$3:$A$1000)*1,("var_fout"=[1]OUT_TransportEnergyCons!$B$3:$B$1000)*1,ISNUMBER(SEARCH("TPCAR",[1]OUT_TransportEnergyCons!$C$3:$C$1000))*1,[1]OUT_TransportEnergyCons!F$3:F$1000)</f>
        <v>2.8533661026313282</v>
      </c>
      <c r="I1236" s="1" cm="1">
        <f t="array" ref="I1236">SUMPRODUCT(("T_C-ICE-GSL-S2"=[1]OUT_TransportEnergyCons!$A$3:$A$1000)*1,("var_fout"=[1]OUT_TransportEnergyCons!$B$3:$B$1000)*1,ISNUMBER(SEARCH("TPCAR",[1]OUT_TransportEnergyCons!$C$3:$C$1000))*1,[1]OUT_TransportEnergyCons!G$3:G$1000)</f>
        <v>2.1769729795322732</v>
      </c>
      <c r="J1236" s="1" cm="1">
        <f t="array" ref="J1236">SUMPRODUCT(("T_C-ICE-GSL-S2"=[1]OUT_TransportEnergyCons!$A$3:$A$1000)*1,("var_fout"=[1]OUT_TransportEnergyCons!$B$3:$B$1000)*1,ISNUMBER(SEARCH("TPCAR",[1]OUT_TransportEnergyCons!$C$3:$C$1000))*1,[1]OUT_TransportEnergyCons!H$3:H$1000)</f>
        <v>1.2898757216140808E-3</v>
      </c>
      <c r="K1236" s="1" cm="1">
        <f t="array" ref="K1236">SUMPRODUCT(("T_C-ICE-GSL-S2"=[1]OUT_TransportEnergyCons!$A$3:$A$1000)*1,("var_fout"=[1]OUT_TransportEnergyCons!$B$3:$B$1000)*1,ISNUMBER(SEARCH("TPCAR",[1]OUT_TransportEnergyCons!$C$3:$C$1000))*1,[1]OUT_TransportEnergyCons!I$3:I$1000)</f>
        <v>1.3282699282552366E-5</v>
      </c>
    </row>
    <row r="1237" spans="2:11" x14ac:dyDescent="0.35">
      <c r="B1237" s="5" t="str">
        <f t="shared" si="770"/>
        <v>SPS3</v>
      </c>
      <c r="C1237" s="5" t="str">
        <f t="shared" si="773"/>
        <v>CH</v>
      </c>
      <c r="D1237" t="s">
        <v>1158</v>
      </c>
      <c r="E1237" t="str">
        <f t="shared" si="772"/>
        <v>billion km/yr.</v>
      </c>
      <c r="F1237" s="1" cm="1">
        <f t="array" ref="F1237">SUMPRODUCT(("T_C-ICE-GSL-S3"=[1]OUT_TransportEnergyCons!$A$3:$A$1000)*1,("var_fout"=[1]OUT_TransportEnergyCons!$B$3:$B$1000)*1,ISNUMBER(SEARCH("TPCAR",[1]OUT_TransportEnergyCons!$C$3:$C$1000))*1,[1]OUT_TransportEnergyCons!D$3:D$1000)</f>
        <v>1.8557488157626141</v>
      </c>
      <c r="G1237" s="1" cm="1">
        <f t="array" ref="G1237">SUMPRODUCT(("T_C-ICE-GSL-S3"=[1]OUT_TransportEnergyCons!$A$3:$A$1000)*1,("var_fout"=[1]OUT_TransportEnergyCons!$B$3:$B$1000)*1,ISNUMBER(SEARCH("TPCAR",[1]OUT_TransportEnergyCons!$C$3:$C$1000))*1,[1]OUT_TransportEnergyCons!E$3:E$1000)</f>
        <v>4.5702592642166611</v>
      </c>
      <c r="H1237" s="1" cm="1">
        <f t="array" ref="H1237">SUMPRODUCT(("T_C-ICE-GSL-S3"=[1]OUT_TransportEnergyCons!$A$3:$A$1000)*1,("var_fout"=[1]OUT_TransportEnergyCons!$B$3:$B$1000)*1,ISNUMBER(SEARCH("TPCAR",[1]OUT_TransportEnergyCons!$C$3:$C$1000))*1,[1]OUT_TransportEnergyCons!F$3:F$1000)</f>
        <v>5.0126119498982638</v>
      </c>
      <c r="I1237" s="1" cm="1">
        <f t="array" ref="I1237">SUMPRODUCT(("T_C-ICE-GSL-S3"=[1]OUT_TransportEnergyCons!$A$3:$A$1000)*1,("var_fout"=[1]OUT_TransportEnergyCons!$B$3:$B$1000)*1,ISNUMBER(SEARCH("TPCAR",[1]OUT_TransportEnergyCons!$C$3:$C$1000))*1,[1]OUT_TransportEnergyCons!G$3:G$1000)</f>
        <v>4.0981842467523304</v>
      </c>
      <c r="J1237" s="1" cm="1">
        <f t="array" ref="J1237">SUMPRODUCT(("T_C-ICE-GSL-S3"=[1]OUT_TransportEnergyCons!$A$3:$A$1000)*1,("var_fout"=[1]OUT_TransportEnergyCons!$B$3:$B$1000)*1,ISNUMBER(SEARCH("TPCAR",[1]OUT_TransportEnergyCons!$C$3:$C$1000))*1,[1]OUT_TransportEnergyCons!H$3:H$1000)</f>
        <v>3.5417004955101701E-2</v>
      </c>
      <c r="K1237" s="1" cm="1">
        <f t="array" ref="K1237">SUMPRODUCT(("T_C-ICE-GSL-S3"=[1]OUT_TransportEnergyCons!$A$3:$A$1000)*1,("var_fout"=[1]OUT_TransportEnergyCons!$B$3:$B$1000)*1,ISNUMBER(SEARCH("TPCAR",[1]OUT_TransportEnergyCons!$C$3:$C$1000))*1,[1]OUT_TransportEnergyCons!I$3:I$1000)</f>
        <v>1.253480680042047E-5</v>
      </c>
    </row>
    <row r="1238" spans="2:11" x14ac:dyDescent="0.35">
      <c r="B1238" s="5" t="str">
        <f t="shared" si="770"/>
        <v>SPS3</v>
      </c>
      <c r="C1238" s="5" t="str">
        <f t="shared" si="773"/>
        <v>CH</v>
      </c>
      <c r="D1238" t="s">
        <v>1159</v>
      </c>
      <c r="E1238" t="str">
        <f t="shared" si="772"/>
        <v>billion km/yr.</v>
      </c>
      <c r="F1238" s="1" cm="1">
        <f t="array" ref="F1238">SUMPRODUCT(("T_C-ICE-GSL-S4"=[1]OUT_TransportEnergyCons!$A$3:$A$1000)*1,("var_fout"=[1]OUT_TransportEnergyCons!$B$3:$B$1000)*1,ISNUMBER(SEARCH("TPCAR",[1]OUT_TransportEnergyCons!$C$3:$C$1000))*1,[1]OUT_TransportEnergyCons!D$3:D$1000)</f>
        <v>1.5036125500489779</v>
      </c>
      <c r="G1238" s="1" cm="1">
        <f t="array" ref="G1238">SUMPRODUCT(("T_C-ICE-GSL-S4"=[1]OUT_TransportEnergyCons!$A$3:$A$1000)*1,("var_fout"=[1]OUT_TransportEnergyCons!$B$3:$B$1000)*1,ISNUMBER(SEARCH("TPCAR",[1]OUT_TransportEnergyCons!$C$3:$C$1000))*1,[1]OUT_TransportEnergyCons!E$3:E$1000)</f>
        <v>2.2852213684852787</v>
      </c>
      <c r="H1238" s="1" cm="1">
        <f t="array" ref="H1238">SUMPRODUCT(("T_C-ICE-GSL-S4"=[1]OUT_TransportEnergyCons!$A$3:$A$1000)*1,("var_fout"=[1]OUT_TransportEnergyCons!$B$3:$B$1000)*1,ISNUMBER(SEARCH("TPCAR",[1]OUT_TransportEnergyCons!$C$3:$C$1000))*1,[1]OUT_TransportEnergyCons!F$3:F$1000)</f>
        <v>3.5896759520268495</v>
      </c>
      <c r="I1238" s="1" cm="1">
        <f t="array" ref="I1238">SUMPRODUCT(("T_C-ICE-GSL-S4"=[1]OUT_TransportEnergyCons!$A$3:$A$1000)*1,("var_fout"=[1]OUT_TransportEnergyCons!$B$3:$B$1000)*1,ISNUMBER(SEARCH("TPCAR",[1]OUT_TransportEnergyCons!$C$3:$C$1000))*1,[1]OUT_TransportEnergyCons!G$3:G$1000)</f>
        <v>11.699862683349073</v>
      </c>
      <c r="J1238" s="1" cm="1">
        <f t="array" ref="J1238">SUMPRODUCT(("T_C-ICE-GSL-S4"=[1]OUT_TransportEnergyCons!$A$3:$A$1000)*1,("var_fout"=[1]OUT_TransportEnergyCons!$B$3:$B$1000)*1,ISNUMBER(SEARCH("TPCAR",[1]OUT_TransportEnergyCons!$C$3:$C$1000))*1,[1]OUT_TransportEnergyCons!H$3:H$1000)</f>
        <v>2.5443900054675046</v>
      </c>
      <c r="K1238" s="1" cm="1">
        <f t="array" ref="K1238">SUMPRODUCT(("T_C-ICE-GSL-S4"=[1]OUT_TransportEnergyCons!$A$3:$A$1000)*1,("var_fout"=[1]OUT_TransportEnergyCons!$B$3:$B$1000)*1,ISNUMBER(SEARCH("TPCAR",[1]OUT_TransportEnergyCons!$C$3:$C$1000))*1,[1]OUT_TransportEnergyCons!I$3:I$1000)</f>
        <v>1.5595406460482492E-5</v>
      </c>
    </row>
    <row r="1239" spans="2:11" x14ac:dyDescent="0.35">
      <c r="B1239" s="5" t="str">
        <f t="shared" si="770"/>
        <v>SPS3</v>
      </c>
      <c r="C1239" s="5" t="str">
        <f t="shared" si="773"/>
        <v>CH</v>
      </c>
      <c r="D1239" t="s">
        <v>1160</v>
      </c>
      <c r="E1239" t="str">
        <f t="shared" si="772"/>
        <v>billion km/yr.</v>
      </c>
      <c r="F1239" s="1" cm="1">
        <f t="array" ref="F1239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39" s="1" cm="1">
        <f t="array" ref="G1239">SUMPRODUCT(("T_C-MHY-GSL-S1"=[1]OUT_TransportEnergyCons!$A$3:$A$1000)*1,("var_fout"=[1]OUT_TransportEnergyCons!$B$3:$B$1000)*1,ISNUMBER(SEARCH("TPCAR",[1]OUT_TransportEnergyCons!$C$3:$C$1000))*1,[1]OUT_TransportEnergyCons!E$3:E$1000)</f>
        <v>6.0858853933020145E-4</v>
      </c>
      <c r="H1239" s="1" cm="1">
        <f t="array" ref="H1239">SUMPRODUCT(("T_C-MHY-GSL-S1"=[1]OUT_TransportEnergyCons!$A$3:$A$1000)*1,("var_fout"=[1]OUT_TransportEnergyCons!$B$3:$B$1000)*1,ISNUMBER(SEARCH("TPCAR",[1]OUT_TransportEnergyCons!$C$3:$C$1000))*1,[1]OUT_TransportEnergyCons!F$3:F$1000)</f>
        <v>1.633930322529594E-3</v>
      </c>
      <c r="I1239" s="1" cm="1">
        <f t="array" ref="I1239">SUMPRODUCT(("T_C-MHY-GSL-S1"=[1]OUT_TransportEnergyCons!$A$3:$A$1000)*1,("var_fout"=[1]OUT_TransportEnergyCons!$B$3:$B$1000)*1,ISNUMBER(SEARCH("TPCAR",[1]OUT_TransportEnergyCons!$C$3:$C$1000))*1,[1]OUT_TransportEnergyCons!G$3:G$1000)</f>
        <v>2.2592025201612705E-3</v>
      </c>
      <c r="J1239" s="1" cm="1">
        <f t="array" ref="J1239">SUMPRODUCT(("T_C-MHY-GSL-S1"=[1]OUT_TransportEnergyCons!$A$3:$A$1000)*1,("var_fout"=[1]OUT_TransportEnergyCons!$B$3:$B$1000)*1,ISNUMBER(SEARCH("TPCAR",[1]OUT_TransportEnergyCons!$C$3:$C$1000))*1,[1]OUT_TransportEnergyCons!H$3:H$1000)</f>
        <v>7.4429697503046986E-4</v>
      </c>
      <c r="K1239" s="1" cm="1">
        <f t="array" ref="K1239">SUMPRODUCT(("T_C-MHY-GSL-S1"=[1]OUT_TransportEnergyCons!$A$3:$A$1000)*1,("var_fout"=[1]OUT_TransportEnergyCons!$B$3:$B$1000)*1,ISNUMBER(SEARCH("TPCAR",[1]OUT_TransportEnergyCons!$C$3:$C$1000))*1,[1]OUT_TransportEnergyCons!I$3:I$1000)</f>
        <v>1.0463698835861989E-4</v>
      </c>
    </row>
    <row r="1240" spans="2:11" x14ac:dyDescent="0.35">
      <c r="B1240" s="5" t="str">
        <f t="shared" si="770"/>
        <v>SPS3</v>
      </c>
      <c r="C1240" s="5" t="str">
        <f t="shared" si="773"/>
        <v>CH</v>
      </c>
      <c r="D1240" t="s">
        <v>1161</v>
      </c>
      <c r="E1240" t="str">
        <f t="shared" si="772"/>
        <v>billion km/yr.</v>
      </c>
      <c r="F1240" s="1" cm="1">
        <f t="array" ref="F1240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0" s="1" cm="1">
        <f t="array" ref="G1240">SUMPRODUCT(("T_C-MHY-GSL-S2"=[1]OUT_TransportEnergyCons!$A$3:$A$1000)*1,("var_fout"=[1]OUT_TransportEnergyCons!$B$3:$B$1000)*1,ISNUMBER(SEARCH("TPCAR",[1]OUT_TransportEnergyCons!$C$3:$C$1000))*1,[1]OUT_TransportEnergyCons!E$3:E$1000)</f>
        <v>4.2240196335186387E-4</v>
      </c>
      <c r="H1240" s="1" cm="1">
        <f t="array" ref="H1240">SUMPRODUCT(("T_C-MHY-GSL-S2"=[1]OUT_TransportEnergyCons!$A$3:$A$1000)*1,("var_fout"=[1]OUT_TransportEnergyCons!$B$3:$B$1000)*1,ISNUMBER(SEARCH("TPCAR",[1]OUT_TransportEnergyCons!$C$3:$C$1000))*1,[1]OUT_TransportEnergyCons!F$3:F$1000)</f>
        <v>1.2512657619474208E-3</v>
      </c>
      <c r="I1240" s="1" cm="1">
        <f t="array" ref="I1240">SUMPRODUCT(("T_C-MHY-GSL-S2"=[1]OUT_TransportEnergyCons!$A$3:$A$1000)*1,("var_fout"=[1]OUT_TransportEnergyCons!$B$3:$B$1000)*1,ISNUMBER(SEARCH("TPCAR",[1]OUT_TransportEnergyCons!$C$3:$C$1000))*1,[1]OUT_TransportEnergyCons!G$3:G$1000)</f>
        <v>1.9707472358014375E-3</v>
      </c>
      <c r="J1240" s="1" cm="1">
        <f t="array" ref="J1240">SUMPRODUCT(("T_C-MHY-GSL-S2"=[1]OUT_TransportEnergyCons!$A$3:$A$1000)*1,("var_fout"=[1]OUT_TransportEnergyCons!$B$3:$B$1000)*1,ISNUMBER(SEARCH("TPCAR",[1]OUT_TransportEnergyCons!$C$3:$C$1000))*1,[1]OUT_TransportEnergyCons!H$3:H$1000)</f>
        <v>6.4425516852623869E-4</v>
      </c>
      <c r="K1240" s="1" cm="1">
        <f t="array" ref="K1240">SUMPRODUCT(("T_C-MHY-GSL-S2"=[1]OUT_TransportEnergyCons!$A$3:$A$1000)*1,("var_fout"=[1]OUT_TransportEnergyCons!$B$3:$B$1000)*1,ISNUMBER(SEARCH("TPCAR",[1]OUT_TransportEnergyCons!$C$3:$C$1000))*1,[1]OUT_TransportEnergyCons!I$3:I$1000)</f>
        <v>7.3829091115077913E-5</v>
      </c>
    </row>
    <row r="1241" spans="2:11" x14ac:dyDescent="0.35">
      <c r="B1241" s="5" t="str">
        <f t="shared" si="770"/>
        <v>SPS3</v>
      </c>
      <c r="C1241" s="5" t="str">
        <f t="shared" si="773"/>
        <v>CH</v>
      </c>
      <c r="D1241" t="s">
        <v>1162</v>
      </c>
      <c r="E1241" t="str">
        <f t="shared" si="772"/>
        <v>billion km/yr.</v>
      </c>
      <c r="F1241" s="1" cm="1">
        <f t="array" ref="F1241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SUMPRODUCT(("T_C-MHY-GSL-S3"=[1]OUT_TransportEnergyCons!$A$3:$A$1000)*1,("var_fout"=[1]OUT_TransportEnergyCons!$B$3:$B$1000)*1,ISNUMBER(SEARCH("TPCAR",[1]OUT_TransportEnergyCons!$C$3:$C$1000))*1,[1]OUT_TransportEnergyCons!E$3:E$1000)</f>
        <v>6.3416599295138334E-4</v>
      </c>
      <c r="H1241" s="1" cm="1">
        <f t="array" ref="H1241">SUMPRODUCT(("T_C-MHY-GSL-S3"=[1]OUT_TransportEnergyCons!$A$3:$A$1000)*1,("var_fout"=[1]OUT_TransportEnergyCons!$B$3:$B$1000)*1,ISNUMBER(SEARCH("TPCAR",[1]OUT_TransportEnergyCons!$C$3:$C$1000))*1,[1]OUT_TransportEnergyCons!F$3:F$1000)</f>
        <v>1.5934845395725672E-3</v>
      </c>
      <c r="I1241" s="1" cm="1">
        <f t="array" ref="I1241">SUMPRODUCT(("T_C-MHY-GSL-S3"=[1]OUT_TransportEnergyCons!$A$3:$A$1000)*1,("var_fout"=[1]OUT_TransportEnergyCons!$B$3:$B$1000)*1,ISNUMBER(SEARCH("TPCAR",[1]OUT_TransportEnergyCons!$C$3:$C$1000))*1,[1]OUT_TransportEnergyCons!G$3:G$1000)</f>
        <v>2.5014042927756384E-3</v>
      </c>
      <c r="J1241" s="1" cm="1">
        <f t="array" ref="J1241">SUMPRODUCT(("T_C-MHY-GSL-S3"=[1]OUT_TransportEnergyCons!$A$3:$A$1000)*1,("var_fout"=[1]OUT_TransportEnergyCons!$B$3:$B$1000)*1,ISNUMBER(SEARCH("TPCAR",[1]OUT_TransportEnergyCons!$C$3:$C$1000))*1,[1]OUT_TransportEnergyCons!H$3:H$1000)</f>
        <v>6.1598414230137324E-4</v>
      </c>
      <c r="K1241" s="1" cm="1">
        <f t="array" ref="K1241">SUMPRODUCT(("T_C-MHY-GSL-S3"=[1]OUT_TransportEnergyCons!$A$3:$A$1000)*1,("var_fout"=[1]OUT_TransportEnergyCons!$B$3:$B$1000)*1,ISNUMBER(SEARCH("TPCAR",[1]OUT_TransportEnergyCons!$C$3:$C$1000))*1,[1]OUT_TransportEnergyCons!I$3:I$1000)</f>
        <v>6.2094298461335784E-5</v>
      </c>
    </row>
    <row r="1242" spans="2:11" x14ac:dyDescent="0.35">
      <c r="B1242" s="5" t="str">
        <f t="shared" si="770"/>
        <v>SPS3</v>
      </c>
      <c r="C1242" s="5" t="str">
        <f t="shared" si="773"/>
        <v>CH</v>
      </c>
      <c r="D1242" t="s">
        <v>1163</v>
      </c>
      <c r="E1242" t="str">
        <f t="shared" si="772"/>
        <v>billion km/yr.</v>
      </c>
      <c r="F1242" s="1" cm="1">
        <f t="array" ref="F1242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SUMPRODUCT(("T_C-MHY-GSL-S4"=[1]OUT_TransportEnergyCons!$A$3:$A$1000)*1,("var_fout"=[1]OUT_TransportEnergyCons!$B$3:$B$1000)*1,ISNUMBER(SEARCH("TPCAR",[1]OUT_TransportEnergyCons!$C$3:$C$1000))*1,[1]OUT_TransportEnergyCons!E$3:E$1000)</f>
        <v>9.5594072317895852E-4</v>
      </c>
      <c r="H1242" s="1" cm="1">
        <f t="array" ref="H1242">SUMPRODUCT(("T_C-MHY-GSL-S4"=[1]OUT_TransportEnergyCons!$A$3:$A$1000)*1,("var_fout"=[1]OUT_TransportEnergyCons!$B$3:$B$1000)*1,ISNUMBER(SEARCH("TPCAR",[1]OUT_TransportEnergyCons!$C$3:$C$1000))*1,[1]OUT_TransportEnergyCons!F$3:F$1000)</f>
        <v>2.2785216449876765E-3</v>
      </c>
      <c r="I1242" s="1" cm="1">
        <f t="array" ref="I1242">SUMPRODUCT(("T_C-MHY-GSL-S4"=[1]OUT_TransportEnergyCons!$A$3:$A$1000)*1,("var_fout"=[1]OUT_TransportEnergyCons!$B$3:$B$1000)*1,ISNUMBER(SEARCH("TPCAR",[1]OUT_TransportEnergyCons!$C$3:$C$1000))*1,[1]OUT_TransportEnergyCons!G$3:G$1000)</f>
        <v>4.1307593698836293E-3</v>
      </c>
      <c r="J1242" s="1" cm="1">
        <f t="array" ref="J1242">SUMPRODUCT(("T_C-MHY-GSL-S4"=[1]OUT_TransportEnergyCons!$A$3:$A$1000)*1,("var_fout"=[1]OUT_TransportEnergyCons!$B$3:$B$1000)*1,ISNUMBER(SEARCH("TPCAR",[1]OUT_TransportEnergyCons!$C$3:$C$1000))*1,[1]OUT_TransportEnergyCons!H$3:H$1000)</f>
        <v>1.0619311293245401E-3</v>
      </c>
      <c r="K1242" s="1" cm="1">
        <f t="array" ref="K1242">SUMPRODUCT(("T_C-MHY-GSL-S4"=[1]OUT_TransportEnergyCons!$A$3:$A$1000)*1,("var_fout"=[1]OUT_TransportEnergyCons!$B$3:$B$1000)*1,ISNUMBER(SEARCH("TPCAR",[1]OUT_TransportEnergyCons!$C$3:$C$1000))*1,[1]OUT_TransportEnergyCons!I$3:I$1000)</f>
        <v>8.8742347207753486E-5</v>
      </c>
    </row>
    <row r="1243" spans="2:11" x14ac:dyDescent="0.35">
      <c r="B1243" s="5" t="str">
        <f t="shared" si="770"/>
        <v>SPS3</v>
      </c>
      <c r="C1243" s="5" t="str">
        <f t="shared" si="773"/>
        <v>CH</v>
      </c>
      <c r="D1243" t="s">
        <v>1236</v>
      </c>
      <c r="E1243" t="str">
        <f t="shared" si="772"/>
        <v>billion km/yr.</v>
      </c>
      <c r="F1243" s="1" cm="1">
        <f t="array" ref="F1243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3" s="1" cm="1">
        <f t="array" ref="H1243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3" s="1" cm="1">
        <f t="array" ref="I1243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3" s="1" cm="1">
        <f t="array" ref="J1243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3" s="1" cm="1">
        <f t="array" ref="K1243">SUMPRODUCT(("T_C-HYBDSLEXT"=[1]OUT_TransportEnergyCons!$A$3:$A$1000)*1,("var_fout"=[1]OUT_TransportEnergyCons!$B$3:$B$1000)*1,ISNUMBER(SEARCH("TPCAR",[1]OUT_TransportEnergyCons!$C$3:$C$1000))*1,[1]OUT_TransportEnergyCons!I$3:I$1000)</f>
        <v>0</v>
      </c>
    </row>
    <row r="1244" spans="2:11" x14ac:dyDescent="0.35">
      <c r="B1244" s="5" t="str">
        <f t="shared" si="770"/>
        <v>SPS3</v>
      </c>
      <c r="C1244" s="5" t="str">
        <f t="shared" si="773"/>
        <v>CH</v>
      </c>
      <c r="D1244" t="s">
        <v>1164</v>
      </c>
      <c r="E1244" t="str">
        <f t="shared" si="772"/>
        <v>billion km/yr.</v>
      </c>
      <c r="F1244" s="1" cm="1">
        <f t="array" ref="F1244">SUMPRODUCT(("T_C-HY-DSL-S1"=[1]OUT_TransportEnergyCons!$A$3:$A$1000)*1,("var_fout"=[1]OUT_TransportEnergyCons!$B$3:$B$1000)*1,ISNUMBER(SEARCH("TPCAR",[1]OUT_TransportEnergyCons!$C$3:$C$1000))*1,[1]OUT_TransportEnergyCons!D$3:D$1000)</f>
        <v>1.4086809261165372E-5</v>
      </c>
      <c r="G1244" s="1" cm="1">
        <f t="array" ref="G1244">SUMPRODUCT(("T_C-HY-DSL-S1"=[1]OUT_TransportEnergyCons!$A$3:$A$1000)*1,("var_fout"=[1]OUT_TransportEnergyCons!$B$3:$B$1000)*1,ISNUMBER(SEARCH("TPCAR",[1]OUT_TransportEnergyCons!$C$3:$C$1000))*1,[1]OUT_TransportEnergyCons!E$3:E$1000)</f>
        <v>0.39155610443762734</v>
      </c>
      <c r="H1244" s="1" cm="1">
        <f t="array" ref="H1244">SUMPRODUCT(("T_C-HY-DSL-S1"=[1]OUT_TransportEnergyCons!$A$3:$A$1000)*1,("var_fout"=[1]OUT_TransportEnergyCons!$B$3:$B$1000)*1,ISNUMBER(SEARCH("TPCAR",[1]OUT_TransportEnergyCons!$C$3:$C$1000))*1,[1]OUT_TransportEnergyCons!F$3:F$1000)</f>
        <v>0.29041079147646343</v>
      </c>
      <c r="I1244" s="1" cm="1">
        <f t="array" ref="I1244">SUMPRODUCT(("T_C-HY-DSL-S1"=[1]OUT_TransportEnergyCons!$A$3:$A$1000)*1,("var_fout"=[1]OUT_TransportEnergyCons!$B$3:$B$1000)*1,ISNUMBER(SEARCH("TPCAR",[1]OUT_TransportEnergyCons!$C$3:$C$1000))*1,[1]OUT_TransportEnergyCons!G$3:G$1000)</f>
        <v>0.29620511145406725</v>
      </c>
      <c r="J1244" s="1" cm="1">
        <f t="array" ref="J1244">SUMPRODUCT(("T_C-HY-DSL-S1"=[1]OUT_TransportEnergyCons!$A$3:$A$1000)*1,("var_fout"=[1]OUT_TransportEnergyCons!$B$3:$B$1000)*1,ISNUMBER(SEARCH("TPCAR",[1]OUT_TransportEnergyCons!$C$3:$C$1000))*1,[1]OUT_TransportEnergyCons!H$3:H$1000)</f>
        <v>0.67504428654350135</v>
      </c>
      <c r="K1244" s="1" cm="1">
        <f t="array" ref="K1244">SUMPRODUCT(("T_C-HY-DSL-S1"=[1]OUT_TransportEnergyCons!$A$3:$A$1000)*1,("var_fout"=[1]OUT_TransportEnergyCons!$B$3:$B$1000)*1,ISNUMBER(SEARCH("TPCAR",[1]OUT_TransportEnergyCons!$C$3:$C$1000))*1,[1]OUT_TransportEnergyCons!I$3:I$1000)</f>
        <v>1.0266922147289406E-4</v>
      </c>
    </row>
    <row r="1245" spans="2:11" x14ac:dyDescent="0.35">
      <c r="B1245" s="5" t="str">
        <f t="shared" si="770"/>
        <v>SPS3</v>
      </c>
      <c r="C1245" s="5" t="str">
        <f t="shared" si="773"/>
        <v>CH</v>
      </c>
      <c r="D1245" t="s">
        <v>1165</v>
      </c>
      <c r="E1245" t="str">
        <f t="shared" si="772"/>
        <v>billion km/yr.</v>
      </c>
      <c r="F1245" s="1" cm="1">
        <f t="array" ref="F1245">SUMPRODUCT(("T_C-HY-DSL-S2"=[1]OUT_TransportEnergyCons!$A$3:$A$1000)*1,("var_fout"=[1]OUT_TransportEnergyCons!$B$3:$B$1000)*1,ISNUMBER(SEARCH("TPCAR",[1]OUT_TransportEnergyCons!$C$3:$C$1000))*1,[1]OUT_TransportEnergyCons!D$3:D$1000)</f>
        <v>3.1421055671853417E-3</v>
      </c>
      <c r="G1245" s="1" cm="1">
        <f t="array" ref="G1245">SUMPRODUCT(("T_C-HY-DSL-S2"=[1]OUT_TransportEnergyCons!$A$3:$A$1000)*1,("var_fout"=[1]OUT_TransportEnergyCons!$B$3:$B$1000)*1,ISNUMBER(SEARCH("TPCAR",[1]OUT_TransportEnergyCons!$C$3:$C$1000))*1,[1]OUT_TransportEnergyCons!E$3:E$1000)</f>
        <v>1.084203395106357</v>
      </c>
      <c r="H1245" s="1" cm="1">
        <f t="array" ref="H1245">SUMPRODUCT(("T_C-HY-DSL-S2"=[1]OUT_TransportEnergyCons!$A$3:$A$1000)*1,("var_fout"=[1]OUT_TransportEnergyCons!$B$3:$B$1000)*1,ISNUMBER(SEARCH("TPCAR",[1]OUT_TransportEnergyCons!$C$3:$C$1000))*1,[1]OUT_TransportEnergyCons!F$3:F$1000)</f>
        <v>2.5855121606412119</v>
      </c>
      <c r="I1245" s="1" cm="1">
        <f t="array" ref="I1245">SUMPRODUCT(("T_C-HY-DSL-S2"=[1]OUT_TransportEnergyCons!$A$3:$A$1000)*1,("var_fout"=[1]OUT_TransportEnergyCons!$B$3:$B$1000)*1,ISNUMBER(SEARCH("TPCAR",[1]OUT_TransportEnergyCons!$C$3:$C$1000))*1,[1]OUT_TransportEnergyCons!G$3:G$1000)</f>
        <v>5.7930473417006381</v>
      </c>
      <c r="J1245" s="1" cm="1">
        <f t="array" ref="J1245">SUMPRODUCT(("T_C-HY-DSL-S2"=[1]OUT_TransportEnergyCons!$A$3:$A$1000)*1,("var_fout"=[1]OUT_TransportEnergyCons!$B$3:$B$1000)*1,ISNUMBER(SEARCH("TPCAR",[1]OUT_TransportEnergyCons!$C$3:$C$1000))*1,[1]OUT_TransportEnergyCons!H$3:H$1000)</f>
        <v>1.9040285583250727</v>
      </c>
      <c r="K1245" s="1" cm="1">
        <f t="array" ref="K1245">SUMPRODUCT(("T_C-HY-DSL-S2"=[1]OUT_TransportEnergyCons!$A$3:$A$1000)*1,("var_fout"=[1]OUT_TransportEnergyCons!$B$3:$B$1000)*1,ISNUMBER(SEARCH("TPCAR",[1]OUT_TransportEnergyCons!$C$3:$C$1000))*1,[1]OUT_TransportEnergyCons!I$3:I$1000)</f>
        <v>9.0618467306853091E-5</v>
      </c>
    </row>
    <row r="1246" spans="2:11" x14ac:dyDescent="0.35">
      <c r="B1246" s="5" t="str">
        <f t="shared" si="770"/>
        <v>SPS3</v>
      </c>
      <c r="C1246" s="5" t="str">
        <f t="shared" si="773"/>
        <v>CH</v>
      </c>
      <c r="D1246" t="s">
        <v>1166</v>
      </c>
      <c r="E1246" t="str">
        <f t="shared" si="772"/>
        <v>billion km/yr.</v>
      </c>
      <c r="F1246" s="1" cm="1">
        <f t="array" ref="F1246">SUMPRODUCT(("T_C-HY-DSL-S3"=[1]OUT_TransportEnergyCons!$A$3:$A$1000)*1,("var_fout"=[1]OUT_TransportEnergyCons!$B$3:$B$1000)*1,ISNUMBER(SEARCH("TPCAR",[1]OUT_TransportEnergyCons!$C$3:$C$1000))*1,[1]OUT_TransportEnergyCons!D$3:D$1000)</f>
        <v>2.4938072402513969E-2</v>
      </c>
      <c r="G1246" s="1" cm="1">
        <f t="array" ref="G1246">SUMPRODUCT(("T_C-HY-DSL-S3"=[1]OUT_TransportEnergyCons!$A$3:$A$1000)*1,("var_fout"=[1]OUT_TransportEnergyCons!$B$3:$B$1000)*1,ISNUMBER(SEARCH("TPCAR",[1]OUT_TransportEnergyCons!$C$3:$C$1000))*1,[1]OUT_TransportEnergyCons!E$3:E$1000)</f>
        <v>5.6612504105032442E-2</v>
      </c>
      <c r="H1246" s="1" cm="1">
        <f t="array" ref="H1246">SUMPRODUCT(("T_C-HY-DSL-S3"=[1]OUT_TransportEnergyCons!$A$3:$A$1000)*1,("var_fout"=[1]OUT_TransportEnergyCons!$B$3:$B$1000)*1,ISNUMBER(SEARCH("TPCAR",[1]OUT_TransportEnergyCons!$C$3:$C$1000))*1,[1]OUT_TransportEnergyCons!F$3:F$1000)</f>
        <v>5.4833310835454924E-2</v>
      </c>
      <c r="I1246" s="1" cm="1">
        <f t="array" ref="I1246">SUMPRODUCT(("T_C-HY-DSL-S3"=[1]OUT_TransportEnergyCons!$A$3:$A$1000)*1,("var_fout"=[1]OUT_TransportEnergyCons!$B$3:$B$1000)*1,ISNUMBER(SEARCH("TPCAR",[1]OUT_TransportEnergyCons!$C$3:$C$1000))*1,[1]OUT_TransportEnergyCons!G$3:G$1000)</f>
        <v>4.4846138705486878E-2</v>
      </c>
      <c r="J1246" s="1" cm="1">
        <f t="array" ref="J1246">SUMPRODUCT(("T_C-HY-DSL-S3"=[1]OUT_TransportEnergyCons!$A$3:$A$1000)*1,("var_fout"=[1]OUT_TransportEnergyCons!$B$3:$B$1000)*1,ISNUMBER(SEARCH("TPCAR",[1]OUT_TransportEnergyCons!$C$3:$C$1000))*1,[1]OUT_TransportEnergyCons!H$3:H$1000)</f>
        <v>8.8159826419037057E-4</v>
      </c>
      <c r="K1246" s="1" cm="1">
        <f t="array" ref="K1246">SUMPRODUCT(("T_C-HY-DSL-S3"=[1]OUT_TransportEnergyCons!$A$3:$A$1000)*1,("var_fout"=[1]OUT_TransportEnergyCons!$B$3:$B$1000)*1,ISNUMBER(SEARCH("TPCAR",[1]OUT_TransportEnergyCons!$C$3:$C$1000))*1,[1]OUT_TransportEnergyCons!I$3:I$1000)</f>
        <v>7.6362787947980258E-5</v>
      </c>
    </row>
    <row r="1247" spans="2:11" x14ac:dyDescent="0.35">
      <c r="B1247" s="5" t="str">
        <f t="shared" si="770"/>
        <v>SPS3</v>
      </c>
      <c r="C1247" s="5" t="str">
        <f t="shared" si="773"/>
        <v>CH</v>
      </c>
      <c r="D1247" t="s">
        <v>1167</v>
      </c>
      <c r="E1247" t="str">
        <f t="shared" si="772"/>
        <v>billion km/yr.</v>
      </c>
      <c r="F1247" s="1" cm="1">
        <f t="array" ref="F1247">SUMPRODUCT(("T_C-HY-DSL-S4"=[1]OUT_TransportEnergyCons!$A$3:$A$1000)*1,("var_fout"=[1]OUT_TransportEnergyCons!$B$3:$B$1000)*1,ISNUMBER(SEARCH("TPCAR",[1]OUT_TransportEnergyCons!$C$3:$C$1000))*1,[1]OUT_TransportEnergyCons!D$3:D$1000)</f>
        <v>4.7269925427160527E-2</v>
      </c>
      <c r="G1247" s="1" cm="1">
        <f t="array" ref="G1247">SUMPRODUCT(("T_C-HY-DSL-S4"=[1]OUT_TransportEnergyCons!$A$3:$A$1000)*1,("var_fout"=[1]OUT_TransportEnergyCons!$B$3:$B$1000)*1,ISNUMBER(SEARCH("TPCAR",[1]OUT_TransportEnergyCons!$C$3:$C$1000))*1,[1]OUT_TransportEnergyCons!E$3:E$1000)</f>
        <v>0.11669809491930057</v>
      </c>
      <c r="H1247" s="1" cm="1">
        <f t="array" ref="H1247">SUMPRODUCT(("T_C-HY-DSL-S4"=[1]OUT_TransportEnergyCons!$A$3:$A$1000)*1,("var_fout"=[1]OUT_TransportEnergyCons!$B$3:$B$1000)*1,ISNUMBER(SEARCH("TPCAR",[1]OUT_TransportEnergyCons!$C$3:$C$1000))*1,[1]OUT_TransportEnergyCons!F$3:F$1000)</f>
        <v>0.11197212892136188</v>
      </c>
      <c r="I1247" s="1" cm="1">
        <f t="array" ref="I1247">SUMPRODUCT(("T_C-HY-DSL-S4"=[1]OUT_TransportEnergyCons!$A$3:$A$1000)*1,("var_fout"=[1]OUT_TransportEnergyCons!$B$3:$B$1000)*1,ISNUMBER(SEARCH("TPCAR",[1]OUT_TransportEnergyCons!$C$3:$C$1000))*1,[1]OUT_TransportEnergyCons!G$3:G$1000)</f>
        <v>9.5015015377521522E-2</v>
      </c>
      <c r="J1247" s="1" cm="1">
        <f t="array" ref="J1247">SUMPRODUCT(("T_C-HY-DSL-S4"=[1]OUT_TransportEnergyCons!$A$3:$A$1000)*1,("var_fout"=[1]OUT_TransportEnergyCons!$B$3:$B$1000)*1,ISNUMBER(SEARCH("TPCAR",[1]OUT_TransportEnergyCons!$C$3:$C$1000))*1,[1]OUT_TransportEnergyCons!H$3:H$1000)</f>
        <v>1.0565652390532084E-3</v>
      </c>
      <c r="K1247" s="1" cm="1">
        <f t="array" ref="K1247">SUMPRODUCT(("T_C-HY-DSL-S4"=[1]OUT_TransportEnergyCons!$A$3:$A$1000)*1,("var_fout"=[1]OUT_TransportEnergyCons!$B$3:$B$1000)*1,ISNUMBER(SEARCH("TPCAR",[1]OUT_TransportEnergyCons!$C$3:$C$1000))*1,[1]OUT_TransportEnergyCons!I$3:I$1000)</f>
        <v>9.9936189455347203E-5</v>
      </c>
    </row>
    <row r="1248" spans="2:11" x14ac:dyDescent="0.35">
      <c r="B1248" s="5" t="str">
        <f t="shared" si="770"/>
        <v>SPS3</v>
      </c>
      <c r="C1248" s="5" t="str">
        <f t="shared" si="773"/>
        <v>CH</v>
      </c>
      <c r="D1248" t="s">
        <v>1168</v>
      </c>
      <c r="E1248" t="str">
        <f t="shared" si="772"/>
        <v>billion km/yr.</v>
      </c>
      <c r="F1248" s="1" cm="1">
        <f t="array" ref="F1248">SUMPRODUCT(("T_C-ICEDSLEXT"=[1]OUT_TransportEnergyCons!$A$3:$A$1000)*1,("var_fout"=[1]OUT_TransportEnergyCons!$B$3:$B$1000)*1,ISNUMBER(SEARCH("TPCAR",[1]OUT_TransportEnergyCons!$C$3:$C$1000))*1,[1]OUT_TransportEnergyCons!D$3:D$1000)</f>
        <v>18.508471650822095</v>
      </c>
      <c r="G1248" s="1" cm="1">
        <f t="array" ref="G1248">SUMPRODUCT(("T_C-ICEDSLEXT"=[1]OUT_TransportEnergyCons!$A$3:$A$1000)*1,("var_fout"=[1]OUT_TransportEnergyCons!$B$3:$B$1000)*1,ISNUMBER(SEARCH("TPCAR",[1]OUT_TransportEnergyCons!$C$3:$C$1000))*1,[1]OUT_TransportEnergyCons!E$3:E$1000)</f>
        <v>17.235950992505828</v>
      </c>
      <c r="H1248" s="1" cm="1">
        <f t="array" ref="H1248">SUMPRODUCT(("T_C-ICEDSLEXT"=[1]OUT_TransportEnergyCons!$A$3:$A$1000)*1,("var_fout"=[1]OUT_TransportEnergyCons!$B$3:$B$1000)*1,ISNUMBER(SEARCH("TPCAR",[1]OUT_TransportEnergyCons!$C$3:$C$1000))*1,[1]OUT_TransportEnergyCons!F$3:F$1000)</f>
        <v>13.258278268547047</v>
      </c>
      <c r="I1248" s="1" cm="1">
        <f t="array" ref="I1248">SUMPRODUCT(("T_C-ICEDSLEXT"=[1]OUT_TransportEnergyCons!$A$3:$A$1000)*1,("var_fout"=[1]OUT_TransportEnergyCons!$B$3:$B$1000)*1,ISNUMBER(SEARCH("TPCAR",[1]OUT_TransportEnergyCons!$C$3:$C$1000))*1,[1]OUT_TransportEnergyCons!G$3:G$1000)</f>
        <v>6.6292123191620682</v>
      </c>
      <c r="J1248" s="1" cm="1">
        <f t="array" ref="J1248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48" s="1" cm="1">
        <f t="array" ref="K1248">SUMPRODUCT(("T_C-ICEDSLEXT"=[1]OUT_TransportEnergyCons!$A$3:$A$1000)*1,("var_fout"=[1]OUT_TransportEnergyCons!$B$3:$B$1000)*1,ISNUMBER(SEARCH("TPCAR",[1]OUT_TransportEnergyCons!$C$3:$C$1000))*1,[1]OUT_TransportEnergyCons!I$3:I$1000)</f>
        <v>0</v>
      </c>
    </row>
    <row r="1249" spans="2:11" x14ac:dyDescent="0.35">
      <c r="B1249" s="5" t="str">
        <f t="shared" si="770"/>
        <v>SPS3</v>
      </c>
      <c r="C1249" s="5" t="str">
        <f t="shared" si="773"/>
        <v>CH</v>
      </c>
      <c r="D1249" t="s">
        <v>1169</v>
      </c>
      <c r="E1249" t="str">
        <f t="shared" si="772"/>
        <v>billion km/yr.</v>
      </c>
      <c r="F1249" s="1" cm="1">
        <f t="array" ref="F1249">SUMPRODUCT(("T_C-ICE-DSL-S1"=[1]OUT_TransportEnergyCons!$A$3:$A$1000)*1,("var_fout"=[1]OUT_TransportEnergyCons!$B$3:$B$1000)*1,ISNUMBER(SEARCH("TPCAR",[1]OUT_TransportEnergyCons!$C$3:$C$1000))*1,[1]OUT_TransportEnergyCons!D$3:D$1000)</f>
        <v>3.8453145663994563E-3</v>
      </c>
      <c r="G1249" s="1" cm="1">
        <f t="array" ref="G1249">SUMPRODUCT(("T_C-ICE-DSL-S1"=[1]OUT_TransportEnergyCons!$A$3:$A$1000)*1,("var_fout"=[1]OUT_TransportEnergyCons!$B$3:$B$1000)*1,ISNUMBER(SEARCH("TPCAR",[1]OUT_TransportEnergyCons!$C$3:$C$1000))*1,[1]OUT_TransportEnergyCons!E$3:E$1000)</f>
        <v>4.4762149405722885E-3</v>
      </c>
      <c r="H1249" s="1" cm="1">
        <f t="array" ref="H1249">SUMPRODUCT(("T_C-ICE-DSL-S1"=[1]OUT_TransportEnergyCons!$A$3:$A$1000)*1,("var_fout"=[1]OUT_TransportEnergyCons!$B$3:$B$1000)*1,ISNUMBER(SEARCH("TPCAR",[1]OUT_TransportEnergyCons!$C$3:$C$1000))*1,[1]OUT_TransportEnergyCons!F$3:F$1000)</f>
        <v>5.30922579659156E-3</v>
      </c>
      <c r="I1249" s="1" cm="1">
        <f t="array" ref="I1249">SUMPRODUCT(("T_C-ICE-DSL-S1"=[1]OUT_TransportEnergyCons!$A$3:$A$1000)*1,("var_fout"=[1]OUT_TransportEnergyCons!$B$3:$B$1000)*1,ISNUMBER(SEARCH("TPCAR",[1]OUT_TransportEnergyCons!$C$3:$C$1000))*1,[1]OUT_TransportEnergyCons!G$3:G$1000)</f>
        <v>4.6191011095082033E-3</v>
      </c>
      <c r="J1249" s="1" cm="1">
        <f t="array" ref="J1249">SUMPRODUCT(("T_C-ICE-DSL-S1"=[1]OUT_TransportEnergyCons!$A$3:$A$1000)*1,("var_fout"=[1]OUT_TransportEnergyCons!$B$3:$B$1000)*1,ISNUMBER(SEARCH("TPCAR",[1]OUT_TransportEnergyCons!$C$3:$C$1000))*1,[1]OUT_TransportEnergyCons!H$3:H$1000)</f>
        <v>6.7509022868569315E-4</v>
      </c>
      <c r="K1249" s="1" cm="1">
        <f t="array" ref="K1249">SUMPRODUCT(("T_C-ICE-DSL-S1"=[1]OUT_TransportEnergyCons!$A$3:$A$1000)*1,("var_fout"=[1]OUT_TransportEnergyCons!$B$3:$B$1000)*1,ISNUMBER(SEARCH("TPCAR",[1]OUT_TransportEnergyCons!$C$3:$C$1000))*1,[1]OUT_TransportEnergyCons!I$3:I$1000)</f>
        <v>1.4646428952641085E-5</v>
      </c>
    </row>
    <row r="1250" spans="2:11" x14ac:dyDescent="0.35">
      <c r="B1250" s="5" t="str">
        <f t="shared" si="770"/>
        <v>SPS3</v>
      </c>
      <c r="C1250" s="5" t="str">
        <f t="shared" si="773"/>
        <v>CH</v>
      </c>
      <c r="D1250" t="s">
        <v>1170</v>
      </c>
      <c r="E1250" t="str">
        <f t="shared" si="772"/>
        <v>billion km/yr.</v>
      </c>
      <c r="F1250" s="1" cm="1">
        <f t="array" ref="F1250">SUMPRODUCT(("T_C-ICE-DSL-S2"=[1]OUT_TransportEnergyCons!$A$3:$A$1000)*1,("var_fout"=[1]OUT_TransportEnergyCons!$B$3:$B$1000)*1,ISNUMBER(SEARCH("TPCAR",[1]OUT_TransportEnergyCons!$C$3:$C$1000))*1,[1]OUT_TransportEnergyCons!D$3:D$1000)</f>
        <v>0.82861260206065934</v>
      </c>
      <c r="G1250" s="1" cm="1">
        <f t="array" ref="G1250">SUMPRODUCT(("T_C-ICE-DSL-S2"=[1]OUT_TransportEnergyCons!$A$3:$A$1000)*1,("var_fout"=[1]OUT_TransportEnergyCons!$B$3:$B$1000)*1,ISNUMBER(SEARCH("TPCAR",[1]OUT_TransportEnergyCons!$C$3:$C$1000))*1,[1]OUT_TransportEnergyCons!E$3:E$1000)</f>
        <v>0.90364233873285926</v>
      </c>
      <c r="H1250" s="1" cm="1">
        <f t="array" ref="H1250">SUMPRODUCT(("T_C-ICE-DSL-S2"=[1]OUT_TransportEnergyCons!$A$3:$A$1000)*1,("var_fout"=[1]OUT_TransportEnergyCons!$B$3:$B$1000)*1,ISNUMBER(SEARCH("TPCAR",[1]OUT_TransportEnergyCons!$C$3:$C$1000))*1,[1]OUT_TransportEnergyCons!F$3:F$1000)</f>
        <v>0.74188989345996537</v>
      </c>
      <c r="I1250" s="1" cm="1">
        <f t="array" ref="I1250">SUMPRODUCT(("T_C-ICE-DSL-S2"=[1]OUT_TransportEnergyCons!$A$3:$A$1000)*1,("var_fout"=[1]OUT_TransportEnergyCons!$B$3:$B$1000)*1,ISNUMBER(SEARCH("TPCAR",[1]OUT_TransportEnergyCons!$C$3:$C$1000))*1,[1]OUT_TransportEnergyCons!G$3:G$1000)</f>
        <v>0.63440655306544191</v>
      </c>
      <c r="J1250" s="1" cm="1">
        <f t="array" ref="J1250">SUMPRODUCT(("T_C-ICE-DSL-S2"=[1]OUT_TransportEnergyCons!$A$3:$A$1000)*1,("var_fout"=[1]OUT_TransportEnergyCons!$B$3:$B$1000)*1,ISNUMBER(SEARCH("TPCAR",[1]OUT_TransportEnergyCons!$C$3:$C$1000))*1,[1]OUT_TransportEnergyCons!H$3:H$1000)</f>
        <v>5.520557714593289E-4</v>
      </c>
      <c r="K1250" s="1" cm="1">
        <f t="array" ref="K1250">SUMPRODUCT(("T_C-ICE-DSL-S2"=[1]OUT_TransportEnergyCons!$A$3:$A$1000)*1,("var_fout"=[1]OUT_TransportEnergyCons!$B$3:$B$1000)*1,ISNUMBER(SEARCH("TPCAR",[1]OUT_TransportEnergyCons!$C$3:$C$1000))*1,[1]OUT_TransportEnergyCons!I$3:I$1000)</f>
        <v>9.4840917450895894E-6</v>
      </c>
    </row>
    <row r="1251" spans="2:11" x14ac:dyDescent="0.35">
      <c r="B1251" s="5" t="str">
        <f t="shared" si="770"/>
        <v>SPS3</v>
      </c>
      <c r="C1251" s="5" t="str">
        <f t="shared" si="773"/>
        <v>CH</v>
      </c>
      <c r="D1251" t="s">
        <v>1171</v>
      </c>
      <c r="E1251" t="str">
        <f t="shared" si="772"/>
        <v>billion km/yr.</v>
      </c>
      <c r="F1251" s="1" cm="1">
        <f t="array" ref="F1251">SUMPRODUCT(("T_C-ICE-DSL-S3"=[1]OUT_TransportEnergyCons!$A$3:$A$1000)*1,("var_fout"=[1]OUT_TransportEnergyCons!$B$3:$B$1000)*1,ISNUMBER(SEARCH("TPCAR",[1]OUT_TransportEnergyCons!$C$3:$C$1000))*1,[1]OUT_TransportEnergyCons!D$3:D$1000)</f>
        <v>2.4220905091715728</v>
      </c>
      <c r="G1251" s="1" cm="1">
        <f t="array" ref="G1251">SUMPRODUCT(("T_C-ICE-DSL-S3"=[1]OUT_TransportEnergyCons!$A$3:$A$1000)*1,("var_fout"=[1]OUT_TransportEnergyCons!$B$3:$B$1000)*1,ISNUMBER(SEARCH("TPCAR",[1]OUT_TransportEnergyCons!$C$3:$C$1000))*1,[1]OUT_TransportEnergyCons!E$3:E$1000)</f>
        <v>2.836747480145219</v>
      </c>
      <c r="H1251" s="1" cm="1">
        <f t="array" ref="H1251">SUMPRODUCT(("T_C-ICE-DSL-S3"=[1]OUT_TransportEnergyCons!$A$3:$A$1000)*1,("var_fout"=[1]OUT_TransportEnergyCons!$B$3:$B$1000)*1,ISNUMBER(SEARCH("TPCAR",[1]OUT_TransportEnergyCons!$C$3:$C$1000))*1,[1]OUT_TransportEnergyCons!F$3:F$1000)</f>
        <v>2.807383158561231</v>
      </c>
      <c r="I1251" s="1" cm="1">
        <f t="array" ref="I1251">SUMPRODUCT(("T_C-ICE-DSL-S3"=[1]OUT_TransportEnergyCons!$A$3:$A$1000)*1,("var_fout"=[1]OUT_TransportEnergyCons!$B$3:$B$1000)*1,ISNUMBER(SEARCH("TPCAR",[1]OUT_TransportEnergyCons!$C$3:$C$1000))*1,[1]OUT_TransportEnergyCons!G$3:G$1000)</f>
        <v>2.1824575915858131</v>
      </c>
      <c r="J1251" s="1" cm="1">
        <f t="array" ref="J1251">SUMPRODUCT(("T_C-ICE-DSL-S3"=[1]OUT_TransportEnergyCons!$A$3:$A$1000)*1,("var_fout"=[1]OUT_TransportEnergyCons!$B$3:$B$1000)*1,ISNUMBER(SEARCH("TPCAR",[1]OUT_TransportEnergyCons!$C$3:$C$1000))*1,[1]OUT_TransportEnergyCons!H$3:H$1000)</f>
        <v>4.6870978999093876E-4</v>
      </c>
      <c r="K1251" s="1" cm="1">
        <f t="array" ref="K1251">SUMPRODUCT(("T_C-ICE-DSL-S3"=[1]OUT_TransportEnergyCons!$A$3:$A$1000)*1,("var_fout"=[1]OUT_TransportEnergyCons!$B$3:$B$1000)*1,ISNUMBER(SEARCH("TPCAR",[1]OUT_TransportEnergyCons!$C$3:$C$1000))*1,[1]OUT_TransportEnergyCons!I$3:I$1000)</f>
        <v>8.8535218072394952E-6</v>
      </c>
    </row>
    <row r="1252" spans="2:11" x14ac:dyDescent="0.35">
      <c r="B1252" s="5" t="str">
        <f t="shared" si="770"/>
        <v>SPS3</v>
      </c>
      <c r="C1252" s="5" t="str">
        <f t="shared" si="773"/>
        <v>CH</v>
      </c>
      <c r="D1252" t="s">
        <v>1172</v>
      </c>
      <c r="E1252" t="str">
        <f t="shared" si="772"/>
        <v>billion km/yr.</v>
      </c>
      <c r="F1252" s="1" cm="1">
        <f t="array" ref="F1252">SUMPRODUCT(("T_C-ICE-DSL-S4"=[1]OUT_TransportEnergyCons!$A$3:$A$1000)*1,("var_fout"=[1]OUT_TransportEnergyCons!$B$3:$B$1000)*1,ISNUMBER(SEARCH("TPCAR",[1]OUT_TransportEnergyCons!$C$3:$C$1000))*1,[1]OUT_TransportEnergyCons!D$3:D$1000)</f>
        <v>0.9027487322136577</v>
      </c>
      <c r="G1252" s="1" cm="1">
        <f t="array" ref="G1252">SUMPRODUCT(("T_C-ICE-DSL-S4"=[1]OUT_TransportEnergyCons!$A$3:$A$1000)*1,("var_fout"=[1]OUT_TransportEnergyCons!$B$3:$B$1000)*1,ISNUMBER(SEARCH("TPCAR",[1]OUT_TransportEnergyCons!$C$3:$C$1000))*1,[1]OUT_TransportEnergyCons!E$3:E$1000)</f>
        <v>1.0074791025379031</v>
      </c>
      <c r="H1252" s="1" cm="1">
        <f t="array" ref="H1252">SUMPRODUCT(("T_C-ICE-DSL-S4"=[1]OUT_TransportEnergyCons!$A$3:$A$1000)*1,("var_fout"=[1]OUT_TransportEnergyCons!$B$3:$B$1000)*1,ISNUMBER(SEARCH("TPCAR",[1]OUT_TransportEnergyCons!$C$3:$C$1000))*1,[1]OUT_TransportEnergyCons!F$3:F$1000)</f>
        <v>0.99117940037077668</v>
      </c>
      <c r="I1252" s="1" cm="1">
        <f t="array" ref="I1252">SUMPRODUCT(("T_C-ICE-DSL-S4"=[1]OUT_TransportEnergyCons!$A$3:$A$1000)*1,("var_fout"=[1]OUT_TransportEnergyCons!$B$3:$B$1000)*1,ISNUMBER(SEARCH("TPCAR",[1]OUT_TransportEnergyCons!$C$3:$C$1000))*1,[1]OUT_TransportEnergyCons!G$3:G$1000)</f>
        <v>0.77515802088936059</v>
      </c>
      <c r="J1252" s="1" cm="1">
        <f t="array" ref="J1252">SUMPRODUCT(("T_C-ICE-DSL-S4"=[1]OUT_TransportEnergyCons!$A$3:$A$1000)*1,("var_fout"=[1]OUT_TransportEnergyCons!$B$3:$B$1000)*1,ISNUMBER(SEARCH("TPCAR",[1]OUT_TransportEnergyCons!$C$3:$C$1000))*1,[1]OUT_TransportEnergyCons!H$3:H$1000)</f>
        <v>2.7693445546796966E-4</v>
      </c>
      <c r="K1252" s="1" cm="1">
        <f t="array" ref="K1252">SUMPRODUCT(("T_C-ICE-DSL-S4"=[1]OUT_TransportEnergyCons!$A$3:$A$1000)*1,("var_fout"=[1]OUT_TransportEnergyCons!$B$3:$B$1000)*1,ISNUMBER(SEARCH("TPCAR",[1]OUT_TransportEnergyCons!$C$3:$C$1000))*1,[1]OUT_TransportEnergyCons!I$3:I$1000)</f>
        <v>8.6763614335133213E-6</v>
      </c>
    </row>
    <row r="1253" spans="2:11" x14ac:dyDescent="0.35">
      <c r="B1253" s="5" t="str">
        <f t="shared" si="770"/>
        <v>SPS3</v>
      </c>
      <c r="C1253" s="5" t="str">
        <f t="shared" si="773"/>
        <v>CH</v>
      </c>
      <c r="D1253" t="s">
        <v>1173</v>
      </c>
      <c r="E1253" t="str">
        <f t="shared" si="772"/>
        <v>billion km/yr.</v>
      </c>
      <c r="F1253" s="1" cm="1">
        <f t="array" ref="F1253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3" s="1" cm="1">
        <f t="array" ref="G1253">SUMPRODUCT(("T_C-MHY-DSL-S1"=[1]OUT_TransportEnergyCons!$A$3:$A$1000)*1,("var_fout"=[1]OUT_TransportEnergyCons!$B$3:$B$1000)*1,ISNUMBER(SEARCH("TPCAR",[1]OUT_TransportEnergyCons!$C$3:$C$1000))*1,[1]OUT_TransportEnergyCons!E$3:E$1000)</f>
        <v>5.2816178210508965E-4</v>
      </c>
      <c r="H1253" s="1" cm="1">
        <f t="array" ref="H1253">SUMPRODUCT(("T_C-MHY-DSL-S1"=[1]OUT_TransportEnergyCons!$A$3:$A$1000)*1,("var_fout"=[1]OUT_TransportEnergyCons!$B$3:$B$1000)*1,ISNUMBER(SEARCH("TPCAR",[1]OUT_TransportEnergyCons!$C$3:$C$1000))*1,[1]OUT_TransportEnergyCons!F$3:F$1000)</f>
        <v>1.4575557730080809E-3</v>
      </c>
      <c r="I1253" s="1" cm="1">
        <f t="array" ref="I1253">SUMPRODUCT(("T_C-MHY-DSL-S1"=[1]OUT_TransportEnergyCons!$A$3:$A$1000)*1,("var_fout"=[1]OUT_TransportEnergyCons!$B$3:$B$1000)*1,ISNUMBER(SEARCH("TPCAR",[1]OUT_TransportEnergyCons!$C$3:$C$1000))*1,[1]OUT_TransportEnergyCons!G$3:G$1000)</f>
        <v>2.1325526410415642E-3</v>
      </c>
      <c r="J1253" s="1" cm="1">
        <f t="array" ref="J1253">SUMPRODUCT(("T_C-MHY-DSL-S1"=[1]OUT_TransportEnergyCons!$A$3:$A$1000)*1,("var_fout"=[1]OUT_TransportEnergyCons!$B$3:$B$1000)*1,ISNUMBER(SEARCH("TPCAR",[1]OUT_TransportEnergyCons!$C$3:$C$1000))*1,[1]OUT_TransportEnergyCons!H$3:H$1000)</f>
        <v>6.8862598372240974E-4</v>
      </c>
      <c r="K1253" s="1" cm="1">
        <f t="array" ref="K1253">SUMPRODUCT(("T_C-MHY-DSL-S1"=[1]OUT_TransportEnergyCons!$A$3:$A$1000)*1,("var_fout"=[1]OUT_TransportEnergyCons!$B$3:$B$1000)*1,ISNUMBER(SEARCH("TPCAR",[1]OUT_TransportEnergyCons!$C$3:$C$1000))*1,[1]OUT_TransportEnergyCons!I$3:I$1000)</f>
        <v>8.2742934561646104E-5</v>
      </c>
    </row>
    <row r="1254" spans="2:11" x14ac:dyDescent="0.35">
      <c r="B1254" s="5" t="str">
        <f t="shared" si="770"/>
        <v>SPS3</v>
      </c>
      <c r="C1254" s="5" t="str">
        <f t="shared" si="773"/>
        <v>CH</v>
      </c>
      <c r="D1254" t="s">
        <v>1174</v>
      </c>
      <c r="E1254" t="str">
        <f t="shared" si="772"/>
        <v>billion km/yr.</v>
      </c>
      <c r="F1254" s="1" cm="1">
        <f t="array" ref="F1254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4" s="1" cm="1">
        <f t="array" ref="G1254">SUMPRODUCT(("T_C-MHY-DSL-S2"=[1]OUT_TransportEnergyCons!$A$3:$A$1000)*1,("var_fout"=[1]OUT_TransportEnergyCons!$B$3:$B$1000)*1,ISNUMBER(SEARCH("TPCAR",[1]OUT_TransportEnergyCons!$C$3:$C$1000))*1,[1]OUT_TransportEnergyCons!E$3:E$1000)</f>
        <v>3.7325125509901625E-4</v>
      </c>
      <c r="H1254" s="1" cm="1">
        <f t="array" ref="H1254">SUMPRODUCT(("T_C-MHY-DSL-S2"=[1]OUT_TransportEnergyCons!$A$3:$A$1000)*1,("var_fout"=[1]OUT_TransportEnergyCons!$B$3:$B$1000)*1,ISNUMBER(SEARCH("TPCAR",[1]OUT_TransportEnergyCons!$C$3:$C$1000))*1,[1]OUT_TransportEnergyCons!F$3:F$1000)</f>
        <v>1.1457923714970476E-3</v>
      </c>
      <c r="I1254" s="1" cm="1">
        <f t="array" ref="I1254">SUMPRODUCT(("T_C-MHY-DSL-S2"=[1]OUT_TransportEnergyCons!$A$3:$A$1000)*1,("var_fout"=[1]OUT_TransportEnergyCons!$B$3:$B$1000)*1,ISNUMBER(SEARCH("TPCAR",[1]OUT_TransportEnergyCons!$C$3:$C$1000))*1,[1]OUT_TransportEnergyCons!G$3:G$1000)</f>
        <v>2.0383596963866888E-3</v>
      </c>
      <c r="J1254" s="1" cm="1">
        <f t="array" ref="J1254">SUMPRODUCT(("T_C-MHY-DSL-S2"=[1]OUT_TransportEnergyCons!$A$3:$A$1000)*1,("var_fout"=[1]OUT_TransportEnergyCons!$B$3:$B$1000)*1,ISNUMBER(SEARCH("TPCAR",[1]OUT_TransportEnergyCons!$C$3:$C$1000))*1,[1]OUT_TransportEnergyCons!H$3:H$1000)</f>
        <v>5.8311575381785519E-4</v>
      </c>
      <c r="K1254" s="1" cm="1">
        <f t="array" ref="K1254">SUMPRODUCT(("T_C-MHY-DSL-S2"=[1]OUT_TransportEnergyCons!$A$3:$A$1000)*1,("var_fout"=[1]OUT_TransportEnergyCons!$B$3:$B$1000)*1,ISNUMBER(SEARCH("TPCAR",[1]OUT_TransportEnergyCons!$C$3:$C$1000))*1,[1]OUT_TransportEnergyCons!I$3:I$1000)</f>
        <v>5.7936922593888062E-5</v>
      </c>
    </row>
    <row r="1255" spans="2:11" x14ac:dyDescent="0.35">
      <c r="B1255" s="5" t="str">
        <f t="shared" si="770"/>
        <v>SPS3</v>
      </c>
      <c r="C1255" s="5" t="str">
        <f t="shared" si="773"/>
        <v>CH</v>
      </c>
      <c r="D1255" t="s">
        <v>1175</v>
      </c>
      <c r="E1255" t="str">
        <f t="shared" si="772"/>
        <v>billion km/yr.</v>
      </c>
      <c r="F1255" s="1" cm="1">
        <f t="array" ref="F1255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SUMPRODUCT(("T_C-MHY-DSL-S3"=[1]OUT_TransportEnergyCons!$A$3:$A$1000)*1,("var_fout"=[1]OUT_TransportEnergyCons!$B$3:$B$1000)*1,ISNUMBER(SEARCH("TPCAR",[1]OUT_TransportEnergyCons!$C$3:$C$1000))*1,[1]OUT_TransportEnergyCons!E$3:E$1000)</f>
        <v>5.1744905263992726E-4</v>
      </c>
      <c r="H1255" s="1" cm="1">
        <f t="array" ref="H1255">SUMPRODUCT(("T_C-MHY-DSL-S3"=[1]OUT_TransportEnergyCons!$A$3:$A$1000)*1,("var_fout"=[1]OUT_TransportEnergyCons!$B$3:$B$1000)*1,ISNUMBER(SEARCH("TPCAR",[1]OUT_TransportEnergyCons!$C$3:$C$1000))*1,[1]OUT_TransportEnergyCons!F$3:F$1000)</f>
        <v>1.3852077533686663E-3</v>
      </c>
      <c r="I1255" s="1" cm="1">
        <f t="array" ref="I1255">SUMPRODUCT(("T_C-MHY-DSL-S3"=[1]OUT_TransportEnergyCons!$A$3:$A$1000)*1,("var_fout"=[1]OUT_TransportEnergyCons!$B$3:$B$1000)*1,ISNUMBER(SEARCH("TPCAR",[1]OUT_TransportEnergyCons!$C$3:$C$1000))*1,[1]OUT_TransportEnergyCons!G$3:G$1000)</f>
        <v>2.3300704699751513E-3</v>
      </c>
      <c r="J1255" s="1" cm="1">
        <f t="array" ref="J1255">SUMPRODUCT(("T_C-MHY-DSL-S3"=[1]OUT_TransportEnergyCons!$A$3:$A$1000)*1,("var_fout"=[1]OUT_TransportEnergyCons!$B$3:$B$1000)*1,ISNUMBER(SEARCH("TPCAR",[1]OUT_TransportEnergyCons!$C$3:$C$1000))*1,[1]OUT_TransportEnergyCons!H$3:H$1000)</f>
        <v>5.6850117818319575E-4</v>
      </c>
      <c r="K1255" s="1" cm="1">
        <f t="array" ref="K1255">SUMPRODUCT(("T_C-MHY-DSL-S3"=[1]OUT_TransportEnergyCons!$A$3:$A$1000)*1,("var_fout"=[1]OUT_TransportEnergyCons!$B$3:$B$1000)*1,ISNUMBER(SEARCH("TPCAR",[1]OUT_TransportEnergyCons!$C$3:$C$1000))*1,[1]OUT_TransportEnergyCons!I$3:I$1000)</f>
        <v>4.8076152754464207E-5</v>
      </c>
    </row>
    <row r="1256" spans="2:11" x14ac:dyDescent="0.35">
      <c r="B1256" s="5" t="str">
        <f t="shared" si="770"/>
        <v>SPS3</v>
      </c>
      <c r="C1256" s="5" t="str">
        <f t="shared" si="773"/>
        <v>CH</v>
      </c>
      <c r="D1256" t="s">
        <v>1176</v>
      </c>
      <c r="E1256" t="str">
        <f t="shared" si="772"/>
        <v>billion km/yr.</v>
      </c>
      <c r="F1256" s="1" cm="1">
        <f t="array" ref="F1256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SUMPRODUCT(("T_C-MHY-DSL-S4"=[1]OUT_TransportEnergyCons!$A$3:$A$1000)*1,("var_fout"=[1]OUT_TransportEnergyCons!$B$3:$B$1000)*1,ISNUMBER(SEARCH("TPCAR",[1]OUT_TransportEnergyCons!$C$3:$C$1000))*1,[1]OUT_TransportEnergyCons!E$3:E$1000)</f>
        <v>3.2540031173479314E-4</v>
      </c>
      <c r="H1256" s="1" cm="1">
        <f t="array" ref="H1256">SUMPRODUCT(("T_C-MHY-DSL-S4"=[1]OUT_TransportEnergyCons!$A$3:$A$1000)*1,("var_fout"=[1]OUT_TransportEnergyCons!$B$3:$B$1000)*1,ISNUMBER(SEARCH("TPCAR",[1]OUT_TransportEnergyCons!$C$3:$C$1000))*1,[1]OUT_TransportEnergyCons!F$3:F$1000)</f>
        <v>7.3930488400563571E-4</v>
      </c>
      <c r="I1256" s="1" cm="1">
        <f t="array" ref="I1256">SUMPRODUCT(("T_C-MHY-DSL-S4"=[1]OUT_TransportEnergyCons!$A$3:$A$1000)*1,("var_fout"=[1]OUT_TransportEnergyCons!$B$3:$B$1000)*1,ISNUMBER(SEARCH("TPCAR",[1]OUT_TransportEnergyCons!$C$3:$C$1000))*1,[1]OUT_TransportEnergyCons!G$3:G$1000)</f>
        <v>1.0870553830070089E-3</v>
      </c>
      <c r="J1256" s="1" cm="1">
        <f t="array" ref="J1256">SUMPRODUCT(("T_C-MHY-DSL-S4"=[1]OUT_TransportEnergyCons!$A$3:$A$1000)*1,("var_fout"=[1]OUT_TransportEnergyCons!$B$3:$B$1000)*1,ISNUMBER(SEARCH("TPCAR",[1]OUT_TransportEnergyCons!$C$3:$C$1000))*1,[1]OUT_TransportEnergyCons!H$3:H$1000)</f>
        <v>3.1674771954320891E-4</v>
      </c>
      <c r="K1256" s="1" cm="1">
        <f t="array" ref="K1256">SUMPRODUCT(("T_C-MHY-DSL-S4"=[1]OUT_TransportEnergyCons!$A$3:$A$1000)*1,("var_fout"=[1]OUT_TransportEnergyCons!$B$3:$B$1000)*1,ISNUMBER(SEARCH("TPCAR",[1]OUT_TransportEnergyCons!$C$3:$C$1000))*1,[1]OUT_TransportEnergyCons!I$3:I$1000)</f>
        <v>4.2408044972601257E-5</v>
      </c>
    </row>
    <row r="1257" spans="2:11" x14ac:dyDescent="0.35">
      <c r="B1257" s="5" t="str">
        <f t="shared" si="770"/>
        <v>SPS3</v>
      </c>
      <c r="C1257" s="5" t="str">
        <f t="shared" si="773"/>
        <v>CH</v>
      </c>
      <c r="D1257" t="s">
        <v>1177</v>
      </c>
      <c r="E1257" t="str">
        <f t="shared" si="772"/>
        <v>billion km/yr.</v>
      </c>
      <c r="F1257" s="1" cm="1">
        <f t="array" ref="F1257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7" s="1" cm="1">
        <f t="array" ref="H1257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7" s="1" cm="1">
        <f t="array" ref="I1257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7" s="1" cm="1">
        <f t="array" ref="J1257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7" s="1" cm="1">
        <f t="array" ref="K1257">SUMPRODUCT(("T_C-ICENGAEXT"=[1]OUT_TransportEnergyCons!$A$3:$A$1000)*1,("var_fout"=[1]OUT_TransportEnergyCons!$B$3:$B$1000)*1,ISNUMBER(SEARCH("TPCAR",[1]OUT_TransportEnergyCons!$C$3:$C$1000))*1,[1]OUT_TransportEnergyCons!I$3:I$1000)</f>
        <v>0</v>
      </c>
    </row>
    <row r="1258" spans="2:11" x14ac:dyDescent="0.35">
      <c r="B1258" s="5" t="str">
        <f t="shared" si="770"/>
        <v>SPS3</v>
      </c>
      <c r="C1258" s="5" t="str">
        <f t="shared" si="773"/>
        <v>CH</v>
      </c>
      <c r="D1258" t="s">
        <v>1178</v>
      </c>
      <c r="E1258" t="str">
        <f t="shared" si="772"/>
        <v>billion km/yr.</v>
      </c>
      <c r="F1258" s="1" cm="1">
        <f t="array" ref="F1258">SUMPRODUCT(("T_C-ICE-NGA-S1"=[1]OUT_TransportEnergyCons!$A$3:$A$1000)*1,("var_fout"=[1]OUT_TransportEnergyCons!$B$3:$B$1000)*1,ISNUMBER(SEARCH("TPCAR",[1]OUT_TransportEnergyCons!$C$3:$C$1000))*1,[1]OUT_TransportEnergyCons!D$3:D$1000)</f>
        <v>2.1905708283631547E-3</v>
      </c>
      <c r="G1258" s="1" cm="1">
        <f t="array" ref="G1258">SUMPRODUCT(("T_C-ICE-NGA-S1"=[1]OUT_TransportEnergyCons!$A$3:$A$1000)*1,("var_fout"=[1]OUT_TransportEnergyCons!$B$3:$B$1000)*1,ISNUMBER(SEARCH("TPCAR",[1]OUT_TransportEnergyCons!$C$3:$C$1000))*1,[1]OUT_TransportEnergyCons!E$3:E$1000)</f>
        <v>1.0556890725744855E-3</v>
      </c>
      <c r="H1258" s="1" cm="1">
        <f t="array" ref="H1258">SUMPRODUCT(("T_C-ICE-NGA-S1"=[1]OUT_TransportEnergyCons!$A$3:$A$1000)*1,("var_fout"=[1]OUT_TransportEnergyCons!$B$3:$B$1000)*1,ISNUMBER(SEARCH("TPCAR",[1]OUT_TransportEnergyCons!$C$3:$C$1000))*1,[1]OUT_TransportEnergyCons!F$3:F$1000)</f>
        <v>1.1886873664772419E-3</v>
      </c>
      <c r="I1258" s="1" cm="1">
        <f t="array" ref="I1258">SUMPRODUCT(("T_C-ICE-NGA-S1"=[1]OUT_TransportEnergyCons!$A$3:$A$1000)*1,("var_fout"=[1]OUT_TransportEnergyCons!$B$3:$B$1000)*1,ISNUMBER(SEARCH("TPCAR",[1]OUT_TransportEnergyCons!$C$3:$C$1000))*1,[1]OUT_TransportEnergyCons!G$3:G$1000)</f>
        <v>2.8298383833802291E-4</v>
      </c>
      <c r="J1258" s="1" cm="1">
        <f t="array" ref="J1258">SUMPRODUCT(("T_C-ICE-NGA-S1"=[1]OUT_TransportEnergyCons!$A$3:$A$1000)*1,("var_fout"=[1]OUT_TransportEnergyCons!$B$3:$B$1000)*1,ISNUMBER(SEARCH("TPCAR",[1]OUT_TransportEnergyCons!$C$3:$C$1000))*1,[1]OUT_TransportEnergyCons!H$3:H$1000)</f>
        <v>1.4066452445011664E-4</v>
      </c>
      <c r="K1258" s="1" cm="1">
        <f t="array" ref="K1258">SUMPRODUCT(("T_C-ICE-NGA-S1"=[1]OUT_TransportEnergyCons!$A$3:$A$1000)*1,("var_fout"=[1]OUT_TransportEnergyCons!$B$3:$B$1000)*1,ISNUMBER(SEARCH("TPCAR",[1]OUT_TransportEnergyCons!$C$3:$C$1000))*1,[1]OUT_TransportEnergyCons!I$3:I$1000)</f>
        <v>2.8280564044512676E-5</v>
      </c>
    </row>
    <row r="1259" spans="2:11" x14ac:dyDescent="0.35">
      <c r="B1259" s="5" t="str">
        <f t="shared" si="770"/>
        <v>SPS3</v>
      </c>
      <c r="C1259" s="5" t="str">
        <f t="shared" si="773"/>
        <v>CH</v>
      </c>
      <c r="D1259" t="s">
        <v>1179</v>
      </c>
      <c r="E1259" t="str">
        <f t="shared" si="772"/>
        <v>billion km/yr.</v>
      </c>
      <c r="F1259" s="1" cm="1">
        <f t="array" ref="F1259">SUMPRODUCT(("T_C-ICE-NGA-S2"=[1]OUT_TransportEnergyCons!$A$3:$A$1000)*1,("var_fout"=[1]OUT_TransportEnergyCons!$B$3:$B$1000)*1,ISNUMBER(SEARCH("TPCAR",[1]OUT_TransportEnergyCons!$C$3:$C$1000))*1,[1]OUT_TransportEnergyCons!D$3:D$1000)</f>
        <v>3.3272241023779292E-2</v>
      </c>
      <c r="G1259" s="1" cm="1">
        <f t="array" ref="G1259">SUMPRODUCT(("T_C-ICE-NGA-S2"=[1]OUT_TransportEnergyCons!$A$3:$A$1000)*1,("var_fout"=[1]OUT_TransportEnergyCons!$B$3:$B$1000)*1,ISNUMBER(SEARCH("TPCAR",[1]OUT_TransportEnergyCons!$C$3:$C$1000))*1,[1]OUT_TransportEnergyCons!E$3:E$1000)</f>
        <v>3.8821740959722592E-3</v>
      </c>
      <c r="H1259" s="1" cm="1">
        <f t="array" ref="H1259">SUMPRODUCT(("T_C-ICE-NGA-S2"=[1]OUT_TransportEnergyCons!$A$3:$A$1000)*1,("var_fout"=[1]OUT_TransportEnergyCons!$B$3:$B$1000)*1,ISNUMBER(SEARCH("TPCAR",[1]OUT_TransportEnergyCons!$C$3:$C$1000))*1,[1]OUT_TransportEnergyCons!F$3:F$1000)</f>
        <v>5.0906794802761841E-3</v>
      </c>
      <c r="I1259" s="1" cm="1">
        <f t="array" ref="I1259">SUMPRODUCT(("T_C-ICE-NGA-S2"=[1]OUT_TransportEnergyCons!$A$3:$A$1000)*1,("var_fout"=[1]OUT_TransportEnergyCons!$B$3:$B$1000)*1,ISNUMBER(SEARCH("TPCAR",[1]OUT_TransportEnergyCons!$C$3:$C$1000))*1,[1]OUT_TransportEnergyCons!G$3:G$1000)</f>
        <v>7.4017707658500902E-4</v>
      </c>
      <c r="J1259" s="1" cm="1">
        <f t="array" ref="J1259">SUMPRODUCT(("T_C-ICE-NGA-S2"=[1]OUT_TransportEnergyCons!$A$3:$A$1000)*1,("var_fout"=[1]OUT_TransportEnergyCons!$B$3:$B$1000)*1,ISNUMBER(SEARCH("TPCAR",[1]OUT_TransportEnergyCons!$C$3:$C$1000))*1,[1]OUT_TransportEnergyCons!H$3:H$1000)</f>
        <v>1.8330707995210067E-4</v>
      </c>
      <c r="K1259" s="1" cm="1">
        <f t="array" ref="K1259">SUMPRODUCT(("T_C-ICE-NGA-S2"=[1]OUT_TransportEnergyCons!$A$3:$A$1000)*1,("var_fout"=[1]OUT_TransportEnergyCons!$B$3:$B$1000)*1,ISNUMBER(SEARCH("TPCAR",[1]OUT_TransportEnergyCons!$C$3:$C$1000))*1,[1]OUT_TransportEnergyCons!I$3:I$1000)</f>
        <v>2.0822833180416104E-5</v>
      </c>
    </row>
    <row r="1260" spans="2:11" x14ac:dyDescent="0.35">
      <c r="B1260" s="5" t="str">
        <f t="shared" si="770"/>
        <v>SPS3</v>
      </c>
      <c r="C1260" s="5" t="str">
        <f t="shared" si="773"/>
        <v>CH</v>
      </c>
      <c r="D1260" t="s">
        <v>1180</v>
      </c>
      <c r="E1260" t="str">
        <f t="shared" si="772"/>
        <v>billion km/yr.</v>
      </c>
      <c r="F1260" s="1" cm="1">
        <f t="array" ref="F1260">SUMPRODUCT(("T_C-ICE-NGA-S3"=[1]OUT_TransportEnergyCons!$A$3:$A$1000)*1,("var_fout"=[1]OUT_TransportEnergyCons!$B$3:$B$1000)*1,ISNUMBER(SEARCH("TPCAR",[1]OUT_TransportEnergyCons!$C$3:$C$1000))*1,[1]OUT_TransportEnergyCons!D$3:D$1000)</f>
        <v>1.9665470488004332E-3</v>
      </c>
      <c r="G1260" s="1" cm="1">
        <f t="array" ref="G1260">SUMPRODUCT(("T_C-ICE-NGA-S3"=[1]OUT_TransportEnergyCons!$A$3:$A$1000)*1,("var_fout"=[1]OUT_TransportEnergyCons!$B$3:$B$1000)*1,ISNUMBER(SEARCH("TPCAR",[1]OUT_TransportEnergyCons!$C$3:$C$1000))*1,[1]OUT_TransportEnergyCons!E$3:E$1000)</f>
        <v>9.3369238449856229E-4</v>
      </c>
      <c r="H1260" s="1" cm="1">
        <f t="array" ref="H1260">SUMPRODUCT(("T_C-ICE-NGA-S3"=[1]OUT_TransportEnergyCons!$A$3:$A$1000)*1,("var_fout"=[1]OUT_TransportEnergyCons!$B$3:$B$1000)*1,ISNUMBER(SEARCH("TPCAR",[1]OUT_TransportEnergyCons!$C$3:$C$1000))*1,[1]OUT_TransportEnergyCons!F$3:F$1000)</f>
        <v>1.3147981871585572E-3</v>
      </c>
      <c r="I1260" s="1" cm="1">
        <f t="array" ref="I1260">SUMPRODUCT(("T_C-ICE-NGA-S3"=[1]OUT_TransportEnergyCons!$A$3:$A$1000)*1,("var_fout"=[1]OUT_TransportEnergyCons!$B$3:$B$1000)*1,ISNUMBER(SEARCH("TPCAR",[1]OUT_TransportEnergyCons!$C$3:$C$1000))*1,[1]OUT_TransportEnergyCons!G$3:G$1000)</f>
        <v>7.9159881011617132E-4</v>
      </c>
      <c r="J1260" s="1" cm="1">
        <f t="array" ref="J1260">SUMPRODUCT(("T_C-ICE-NGA-S3"=[1]OUT_TransportEnergyCons!$A$3:$A$1000)*1,("var_fout"=[1]OUT_TransportEnergyCons!$B$3:$B$1000)*1,ISNUMBER(SEARCH("TPCAR",[1]OUT_TransportEnergyCons!$C$3:$C$1000))*1,[1]OUT_TransportEnergyCons!H$3:H$1000)</f>
        <v>2.2546147056813989E-4</v>
      </c>
      <c r="K1260" s="1" cm="1">
        <f t="array" ref="K1260">SUMPRODUCT(("T_C-ICE-NGA-S3"=[1]OUT_TransportEnergyCons!$A$3:$A$1000)*1,("var_fout"=[1]OUT_TransportEnergyCons!$B$3:$B$1000)*1,ISNUMBER(SEARCH("TPCAR",[1]OUT_TransportEnergyCons!$C$3:$C$1000))*1,[1]OUT_TransportEnergyCons!I$3:I$1000)</f>
        <v>2.4035927583714685E-5</v>
      </c>
    </row>
    <row r="1261" spans="2:11" x14ac:dyDescent="0.35">
      <c r="B1261" s="5" t="str">
        <f t="shared" si="770"/>
        <v>SPS3</v>
      </c>
      <c r="C1261" s="5" t="str">
        <f t="shared" si="773"/>
        <v>CH</v>
      </c>
      <c r="D1261" t="s">
        <v>1181</v>
      </c>
      <c r="E1261" t="str">
        <f t="shared" si="772"/>
        <v>billion km/yr.</v>
      </c>
      <c r="F1261" s="1" cm="1">
        <f t="array" ref="F1261">SUMPRODUCT(("T_C-ICE-NGA-S4"=[1]OUT_TransportEnergyCons!$A$3:$A$1000)*1,("var_fout"=[1]OUT_TransportEnergyCons!$B$3:$B$1000)*1,ISNUMBER(SEARCH("TPCAR",[1]OUT_TransportEnergyCons!$C$3:$C$1000))*1,[1]OUT_TransportEnergyCons!D$3:D$1000)</f>
        <v>3.2883419764449216E-2</v>
      </c>
      <c r="G1261" s="1" cm="1">
        <f t="array" ref="G1261">SUMPRODUCT(("T_C-ICE-NGA-S4"=[1]OUT_TransportEnergyCons!$A$3:$A$1000)*1,("var_fout"=[1]OUT_TransportEnergyCons!$B$3:$B$1000)*1,ISNUMBER(SEARCH("TPCAR",[1]OUT_TransportEnergyCons!$C$3:$C$1000))*1,[1]OUT_TransportEnergyCons!E$3:E$1000)</f>
        <v>2.2595570801120367E-2</v>
      </c>
      <c r="H1261" s="1" cm="1">
        <f t="array" ref="H1261">SUMPRODUCT(("T_C-ICE-NGA-S4"=[1]OUT_TransportEnergyCons!$A$3:$A$1000)*1,("var_fout"=[1]OUT_TransportEnergyCons!$B$3:$B$1000)*1,ISNUMBER(SEARCH("TPCAR",[1]OUT_TransportEnergyCons!$C$3:$C$1000))*1,[1]OUT_TransportEnergyCons!F$3:F$1000)</f>
        <v>2.9948911179977309E-2</v>
      </c>
      <c r="I1261" s="1" cm="1">
        <f t="array" ref="I1261">SUMPRODUCT(("T_C-ICE-NGA-S4"=[1]OUT_TransportEnergyCons!$A$3:$A$1000)*1,("var_fout"=[1]OUT_TransportEnergyCons!$B$3:$B$1000)*1,ISNUMBER(SEARCH("TPCAR",[1]OUT_TransportEnergyCons!$C$3:$C$1000))*1,[1]OUT_TransportEnergyCons!G$3:G$1000)</f>
        <v>5.6336010362655119E-4</v>
      </c>
      <c r="J1261" s="1" cm="1">
        <f t="array" ref="J1261">SUMPRODUCT(("T_C-ICE-NGA-S4"=[1]OUT_TransportEnergyCons!$A$3:$A$1000)*1,("var_fout"=[1]OUT_TransportEnergyCons!$B$3:$B$1000)*1,ISNUMBER(SEARCH("TPCAR",[1]OUT_TransportEnergyCons!$C$3:$C$1000))*1,[1]OUT_TransportEnergyCons!H$3:H$1000)</f>
        <v>3.2583373753105612E-4</v>
      </c>
      <c r="K1261" s="1" cm="1">
        <f t="array" ref="K1261">SUMPRODUCT(("T_C-ICE-NGA-S4"=[1]OUT_TransportEnergyCons!$A$3:$A$1000)*1,("var_fout"=[1]OUT_TransportEnergyCons!$B$3:$B$1000)*1,ISNUMBER(SEARCH("TPCAR",[1]OUT_TransportEnergyCons!$C$3:$C$1000))*1,[1]OUT_TransportEnergyCons!I$3:I$1000)</f>
        <v>3.2453786603385905E-5</v>
      </c>
    </row>
    <row r="1262" spans="2:11" x14ac:dyDescent="0.35">
      <c r="B1262" s="5" t="str">
        <f t="shared" si="770"/>
        <v>SPS3</v>
      </c>
      <c r="C1262" s="5" t="str">
        <f t="shared" si="773"/>
        <v>CH</v>
      </c>
      <c r="D1262" s="2" t="s">
        <v>1131</v>
      </c>
      <c r="E1262" s="2" t="s">
        <v>1230</v>
      </c>
      <c r="F1262" s="21" t="s">
        <v>292</v>
      </c>
      <c r="G1262" s="21" t="s">
        <v>292</v>
      </c>
      <c r="H1262" s="21" t="s">
        <v>292</v>
      </c>
      <c r="I1262" s="21" t="s">
        <v>292</v>
      </c>
      <c r="J1262" s="21" t="s">
        <v>292</v>
      </c>
      <c r="K1262" s="21" t="s">
        <v>292</v>
      </c>
    </row>
    <row r="1263" spans="2:11" x14ac:dyDescent="0.35">
      <c r="B1263" s="5" t="str">
        <f t="shared" si="770"/>
        <v>SPS3</v>
      </c>
      <c r="C1263" s="5" t="str">
        <f>C1262</f>
        <v>CH</v>
      </c>
      <c r="D1263" t="s">
        <v>1182</v>
      </c>
      <c r="E1263" t="str">
        <f>E1262</f>
        <v>km/MJ</v>
      </c>
      <c r="F1263" s="1">
        <f t="shared" ref="F1263:K1267" si="774">IFERROR(F1212/F1136,"-")</f>
        <v>0.88951199431361405</v>
      </c>
      <c r="G1263" s="1">
        <f t="shared" si="774"/>
        <v>0.95694536964701893</v>
      </c>
      <c r="H1263" s="1">
        <f t="shared" si="774"/>
        <v>1.0580954326471248</v>
      </c>
      <c r="I1263" s="1">
        <f t="shared" si="774"/>
        <v>1.226678870980638</v>
      </c>
      <c r="J1263" s="1" t="str">
        <f t="shared" si="774"/>
        <v>-</v>
      </c>
      <c r="K1263" s="1" t="str">
        <f t="shared" si="774"/>
        <v>-</v>
      </c>
    </row>
    <row r="1264" spans="2:11" x14ac:dyDescent="0.35">
      <c r="B1264" s="5" t="str">
        <f t="shared" si="770"/>
        <v>SPS3</v>
      </c>
      <c r="C1264" s="5" t="str">
        <f t="shared" ref="C1264:C1312" si="775">C1263</f>
        <v>CH</v>
      </c>
      <c r="D1264" t="s">
        <v>1183</v>
      </c>
      <c r="E1264" t="str">
        <f t="shared" ref="E1264:E1312" si="776">E1263</f>
        <v>km/MJ</v>
      </c>
      <c r="F1264" s="1">
        <f t="shared" si="774"/>
        <v>1.811671973506451</v>
      </c>
      <c r="G1264" s="1">
        <f t="shared" si="774"/>
        <v>1.8116719735064486</v>
      </c>
      <c r="H1264" s="1">
        <f t="shared" si="774"/>
        <v>1.8116719735064482</v>
      </c>
      <c r="I1264" s="1">
        <f t="shared" si="774"/>
        <v>1.8116719735064539</v>
      </c>
      <c r="J1264" s="1">
        <f t="shared" si="774"/>
        <v>1.9175636775149212</v>
      </c>
      <c r="K1264" s="1">
        <f t="shared" si="774"/>
        <v>2.2013793143368634</v>
      </c>
    </row>
    <row r="1265" spans="2:11" x14ac:dyDescent="0.35">
      <c r="B1265" s="5" t="str">
        <f t="shared" si="770"/>
        <v>SPS3</v>
      </c>
      <c r="C1265" s="5" t="str">
        <f t="shared" si="775"/>
        <v>CH</v>
      </c>
      <c r="D1265" t="s">
        <v>1184</v>
      </c>
      <c r="E1265" t="str">
        <f t="shared" si="776"/>
        <v>km/MJ</v>
      </c>
      <c r="F1265" s="1">
        <f t="shared" si="774"/>
        <v>1.4637982671179677</v>
      </c>
      <c r="G1265" s="1">
        <f t="shared" si="774"/>
        <v>1.4637982671179741</v>
      </c>
      <c r="H1265" s="1">
        <f t="shared" si="774"/>
        <v>1.4637982671179706</v>
      </c>
      <c r="I1265" s="1">
        <f t="shared" si="774"/>
        <v>1.4637982671179719</v>
      </c>
      <c r="J1265" s="1">
        <f t="shared" si="774"/>
        <v>1.5704789953713223</v>
      </c>
      <c r="K1265" s="1">
        <f t="shared" si="774"/>
        <v>1.7236046596144059</v>
      </c>
    </row>
    <row r="1266" spans="2:11" x14ac:dyDescent="0.35">
      <c r="B1266" s="5" t="str">
        <f t="shared" si="770"/>
        <v>SPS3</v>
      </c>
      <c r="C1266" s="5" t="str">
        <f t="shared" si="775"/>
        <v>CH</v>
      </c>
      <c r="D1266" t="s">
        <v>1185</v>
      </c>
      <c r="E1266" t="str">
        <f t="shared" si="776"/>
        <v>km/MJ</v>
      </c>
      <c r="F1266" s="1">
        <f t="shared" si="774"/>
        <v>1.3374527251491994</v>
      </c>
      <c r="G1266" s="1">
        <f t="shared" si="774"/>
        <v>1.3374527251491974</v>
      </c>
      <c r="H1266" s="1">
        <f t="shared" si="774"/>
        <v>1.3374527251492005</v>
      </c>
      <c r="I1266" s="1">
        <f t="shared" si="774"/>
        <v>1.3374527251491992</v>
      </c>
      <c r="J1266" s="1">
        <f t="shared" si="774"/>
        <v>1.4404407613489179</v>
      </c>
      <c r="K1266" s="1">
        <f t="shared" si="774"/>
        <v>1.607780226585519</v>
      </c>
    </row>
    <row r="1267" spans="2:11" x14ac:dyDescent="0.35">
      <c r="B1267" s="5" t="str">
        <f t="shared" si="770"/>
        <v>SPS3</v>
      </c>
      <c r="C1267" s="5" t="str">
        <f t="shared" si="775"/>
        <v>CH</v>
      </c>
      <c r="D1267" t="s">
        <v>1186</v>
      </c>
      <c r="E1267" t="str">
        <f t="shared" si="776"/>
        <v>km/MJ</v>
      </c>
      <c r="F1267" s="1">
        <f t="shared" si="774"/>
        <v>1.2949729235430811</v>
      </c>
      <c r="G1267" s="1">
        <f t="shared" si="774"/>
        <v>1.2949729235430809</v>
      </c>
      <c r="H1267" s="1">
        <f t="shared" si="774"/>
        <v>1.294972923543082</v>
      </c>
      <c r="I1267" s="1">
        <f t="shared" si="774"/>
        <v>1.29497292354308</v>
      </c>
      <c r="J1267" s="1">
        <f t="shared" si="774"/>
        <v>1.3878992380593853</v>
      </c>
      <c r="K1267" s="1">
        <f t="shared" si="774"/>
        <v>1.5241271372560126</v>
      </c>
    </row>
    <row r="1268" spans="2:11" x14ac:dyDescent="0.35">
      <c r="B1268" s="5" t="str">
        <f t="shared" ref="B1268:B1331" si="777">B1267</f>
        <v>SPS3</v>
      </c>
      <c r="C1268" s="5" t="str">
        <f t="shared" si="775"/>
        <v>CH</v>
      </c>
      <c r="D1268" t="s">
        <v>1187</v>
      </c>
      <c r="E1268" t="str">
        <f t="shared" si="776"/>
        <v>km/MJ</v>
      </c>
      <c r="F1268" s="1">
        <f t="shared" ref="F1268:K1271" si="778">IFERROR(F1217/SUM(F1141,F1174),"-")</f>
        <v>0.7107715681791934</v>
      </c>
      <c r="G1268" s="1">
        <f t="shared" si="778"/>
        <v>0.7596496346027074</v>
      </c>
      <c r="H1268" s="1">
        <f t="shared" si="778"/>
        <v>0.77189091070972171</v>
      </c>
      <c r="I1268" s="1">
        <f t="shared" si="778"/>
        <v>0.81148706187600017</v>
      </c>
      <c r="J1268" s="1">
        <f t="shared" si="778"/>
        <v>0.97529830365606329</v>
      </c>
      <c r="K1268" s="1">
        <f t="shared" si="778"/>
        <v>1.2156027523049289</v>
      </c>
    </row>
    <row r="1269" spans="2:11" x14ac:dyDescent="0.35">
      <c r="B1269" s="5" t="str">
        <f t="shared" si="777"/>
        <v>SPS3</v>
      </c>
      <c r="C1269" s="5" t="str">
        <f t="shared" si="775"/>
        <v>CH</v>
      </c>
      <c r="D1269" t="s">
        <v>1188</v>
      </c>
      <c r="E1269" t="str">
        <f t="shared" si="776"/>
        <v>km/MJ</v>
      </c>
      <c r="F1269" s="1">
        <f t="shared" si="778"/>
        <v>0.62737789001865618</v>
      </c>
      <c r="G1269" s="1">
        <f t="shared" si="778"/>
        <v>0.5905767971623338</v>
      </c>
      <c r="H1269" s="1">
        <f t="shared" si="778"/>
        <v>0.61139306194053245</v>
      </c>
      <c r="I1269" s="1">
        <f t="shared" si="778"/>
        <v>0.68359852729737469</v>
      </c>
      <c r="J1269" s="1">
        <f t="shared" si="778"/>
        <v>0.84905272929861875</v>
      </c>
      <c r="K1269" s="1">
        <f t="shared" si="778"/>
        <v>1.0839680837345356</v>
      </c>
    </row>
    <row r="1270" spans="2:11" x14ac:dyDescent="0.35">
      <c r="B1270" s="5" t="str">
        <f t="shared" si="777"/>
        <v>SPS3</v>
      </c>
      <c r="C1270" s="5" t="str">
        <f t="shared" si="775"/>
        <v>CH</v>
      </c>
      <c r="D1270" t="s">
        <v>1189</v>
      </c>
      <c r="E1270" t="str">
        <f t="shared" si="776"/>
        <v>km/MJ</v>
      </c>
      <c r="F1270" s="1">
        <f t="shared" si="778"/>
        <v>0.54553546729973512</v>
      </c>
      <c r="G1270" s="1">
        <f t="shared" si="778"/>
        <v>0.5457558684570134</v>
      </c>
      <c r="H1270" s="1">
        <f t="shared" si="778"/>
        <v>0.61793440194563209</v>
      </c>
      <c r="I1270" s="1">
        <f t="shared" si="778"/>
        <v>0.66532453529271396</v>
      </c>
      <c r="J1270" s="1">
        <f t="shared" si="778"/>
        <v>0.8592998211513837</v>
      </c>
      <c r="K1270" s="1">
        <f t="shared" si="778"/>
        <v>1.1311365179725006</v>
      </c>
    </row>
    <row r="1271" spans="2:11" x14ac:dyDescent="0.35">
      <c r="B1271" s="5" t="str">
        <f t="shared" si="777"/>
        <v>SPS3</v>
      </c>
      <c r="C1271" s="5" t="str">
        <f t="shared" si="775"/>
        <v>CH</v>
      </c>
      <c r="D1271" t="s">
        <v>1190</v>
      </c>
      <c r="E1271" t="str">
        <f t="shared" si="776"/>
        <v>km/MJ</v>
      </c>
      <c r="F1271" s="1">
        <f t="shared" si="778"/>
        <v>0.51975568473665967</v>
      </c>
      <c r="G1271" s="1">
        <f t="shared" si="778"/>
        <v>0.52053392175701363</v>
      </c>
      <c r="H1271" s="1">
        <f t="shared" si="778"/>
        <v>0.53078189600005887</v>
      </c>
      <c r="I1271" s="1">
        <f t="shared" si="778"/>
        <v>0.62532334146878377</v>
      </c>
      <c r="J1271" s="1">
        <f t="shared" si="778"/>
        <v>0.78725169194713607</v>
      </c>
      <c r="K1271" s="1">
        <f t="shared" si="778"/>
        <v>1.01029866969924</v>
      </c>
    </row>
    <row r="1272" spans="2:11" x14ac:dyDescent="0.35">
      <c r="B1272" s="5" t="str">
        <f t="shared" si="777"/>
        <v>SPS3</v>
      </c>
      <c r="C1272" s="5" t="str">
        <f t="shared" si="775"/>
        <v>CH</v>
      </c>
      <c r="D1272" t="s">
        <v>1191</v>
      </c>
      <c r="E1272" t="str">
        <f t="shared" si="776"/>
        <v>km/MJ</v>
      </c>
      <c r="F1272" s="1">
        <f t="shared" ref="F1272:K1275" si="779">IFERROR(F1221/SUM(F1145,F1197),"-")</f>
        <v>0.72840569582556924</v>
      </c>
      <c r="G1272" s="1">
        <f t="shared" si="779"/>
        <v>0.77014499581974027</v>
      </c>
      <c r="H1272" s="1">
        <f t="shared" si="779"/>
        <v>0.78543892724900144</v>
      </c>
      <c r="I1272" s="1">
        <f t="shared" si="779"/>
        <v>0.82445694967833694</v>
      </c>
      <c r="J1272" s="1">
        <f t="shared" si="779"/>
        <v>0.99198860498113073</v>
      </c>
      <c r="K1272" s="1">
        <f t="shared" si="779"/>
        <v>1.2318717462268725</v>
      </c>
    </row>
    <row r="1273" spans="2:11" x14ac:dyDescent="0.35">
      <c r="B1273" s="5" t="str">
        <f t="shared" si="777"/>
        <v>SPS3</v>
      </c>
      <c r="C1273" s="5" t="str">
        <f t="shared" si="775"/>
        <v>CH</v>
      </c>
      <c r="D1273" t="s">
        <v>1192</v>
      </c>
      <c r="E1273" t="str">
        <f t="shared" si="776"/>
        <v>km/MJ</v>
      </c>
      <c r="F1273" s="1">
        <f t="shared" si="779"/>
        <v>0.25292980966640533</v>
      </c>
      <c r="G1273" s="1">
        <f t="shared" si="779"/>
        <v>0.63844483353966885</v>
      </c>
      <c r="H1273" s="1">
        <f t="shared" si="779"/>
        <v>0.65162146331866</v>
      </c>
      <c r="I1273" s="1">
        <f t="shared" si="779"/>
        <v>0.69200782733116972</v>
      </c>
      <c r="J1273" s="1">
        <f t="shared" si="779"/>
        <v>0.85935867757654394</v>
      </c>
      <c r="K1273" s="1">
        <f t="shared" si="779"/>
        <v>1.0940597901668316</v>
      </c>
    </row>
    <row r="1274" spans="2:11" x14ac:dyDescent="0.35">
      <c r="B1274" s="5" t="str">
        <f t="shared" si="777"/>
        <v>SPS3</v>
      </c>
      <c r="C1274" s="5" t="str">
        <f t="shared" si="775"/>
        <v>CH</v>
      </c>
      <c r="D1274" t="s">
        <v>1193</v>
      </c>
      <c r="E1274" t="str">
        <f t="shared" si="776"/>
        <v>km/MJ</v>
      </c>
      <c r="F1274" s="1">
        <f t="shared" si="779"/>
        <v>0.55068077797721138</v>
      </c>
      <c r="G1274" s="1">
        <f t="shared" si="779"/>
        <v>0.57283888294711627</v>
      </c>
      <c r="H1274" s="1">
        <f t="shared" si="779"/>
        <v>0.62626320707135452</v>
      </c>
      <c r="I1274" s="1">
        <f t="shared" si="779"/>
        <v>0.67374096763136238</v>
      </c>
      <c r="J1274" s="1">
        <f t="shared" si="779"/>
        <v>0.86792467843765142</v>
      </c>
      <c r="K1274" s="1">
        <f t="shared" si="779"/>
        <v>1.1391151766207803</v>
      </c>
    </row>
    <row r="1275" spans="2:11" x14ac:dyDescent="0.35">
      <c r="B1275" s="5" t="str">
        <f t="shared" si="777"/>
        <v>SPS3</v>
      </c>
      <c r="C1275" s="5" t="str">
        <f t="shared" si="775"/>
        <v>CH</v>
      </c>
      <c r="D1275" t="s">
        <v>1194</v>
      </c>
      <c r="E1275" t="str">
        <f t="shared" si="776"/>
        <v>km/MJ</v>
      </c>
      <c r="F1275" s="1">
        <f t="shared" si="779"/>
        <v>0.52693389514151423</v>
      </c>
      <c r="G1275" s="1">
        <f t="shared" si="779"/>
        <v>0.54125944898597489</v>
      </c>
      <c r="H1275" s="1">
        <f t="shared" si="779"/>
        <v>0.55746421698809012</v>
      </c>
      <c r="I1275" s="1">
        <f t="shared" si="779"/>
        <v>0.63280796744819623</v>
      </c>
      <c r="J1275" s="1">
        <f t="shared" si="779"/>
        <v>0.79541754430584566</v>
      </c>
      <c r="K1275" s="1">
        <f t="shared" si="779"/>
        <v>1.0171204685078044</v>
      </c>
    </row>
    <row r="1276" spans="2:11" x14ac:dyDescent="0.35">
      <c r="B1276" s="5" t="str">
        <f t="shared" si="777"/>
        <v>SPS3</v>
      </c>
      <c r="C1276" s="5" t="str">
        <f t="shared" si="775"/>
        <v>CH</v>
      </c>
      <c r="D1276" t="s">
        <v>1195</v>
      </c>
      <c r="E1276" t="str">
        <f t="shared" si="776"/>
        <v>km/MJ</v>
      </c>
      <c r="F1276" s="1" t="str">
        <f>IFERROR(F1225/F1151,"-")</f>
        <v>-</v>
      </c>
      <c r="G1276" s="1">
        <f t="shared" ref="G1276:K1276" si="780">IFERROR(G1225/G1151,"-")</f>
        <v>1.0965696656165191</v>
      </c>
      <c r="H1276" s="1">
        <f t="shared" si="780"/>
        <v>1.0965696656165211</v>
      </c>
      <c r="I1276" s="1" t="str">
        <f t="shared" si="780"/>
        <v>-</v>
      </c>
      <c r="J1276" s="1">
        <f t="shared" si="780"/>
        <v>1.1812596286853325</v>
      </c>
      <c r="K1276" s="1">
        <f t="shared" si="780"/>
        <v>1.2996513736617969</v>
      </c>
    </row>
    <row r="1277" spans="2:11" x14ac:dyDescent="0.35">
      <c r="B1277" s="5" t="str">
        <f t="shared" si="777"/>
        <v>SPS3</v>
      </c>
      <c r="C1277" s="5" t="str">
        <f t="shared" si="775"/>
        <v>CH</v>
      </c>
      <c r="D1277" t="s">
        <v>1196</v>
      </c>
      <c r="E1277" t="str">
        <f t="shared" si="776"/>
        <v>km/MJ</v>
      </c>
      <c r="F1277" s="1">
        <f t="shared" ref="F1277:K1277" si="781">IFERROR(F1226/F1152,"-")</f>
        <v>0.89149519806162203</v>
      </c>
      <c r="G1277" s="1">
        <f t="shared" si="781"/>
        <v>0.89149519806162181</v>
      </c>
      <c r="H1277" s="1">
        <f t="shared" si="781"/>
        <v>0.89149519806162025</v>
      </c>
      <c r="I1277" s="1" t="str">
        <f t="shared" si="781"/>
        <v>-</v>
      </c>
      <c r="J1277" s="1">
        <f t="shared" si="781"/>
        <v>0.97481155201603564</v>
      </c>
      <c r="K1277" s="1">
        <f t="shared" si="781"/>
        <v>1.0736286751089459</v>
      </c>
    </row>
    <row r="1278" spans="2:11" x14ac:dyDescent="0.35">
      <c r="B1278" s="5" t="str">
        <f t="shared" si="777"/>
        <v>SPS3</v>
      </c>
      <c r="C1278" s="5" t="str">
        <f t="shared" si="775"/>
        <v>CH</v>
      </c>
      <c r="D1278" t="s">
        <v>1197</v>
      </c>
      <c r="E1278" t="str">
        <f t="shared" si="776"/>
        <v>km/MJ</v>
      </c>
      <c r="F1278" s="1">
        <f t="shared" ref="F1278:K1278" si="782">IFERROR(F1227/F1153,"-")</f>
        <v>0.83000507256490741</v>
      </c>
      <c r="G1278" s="1">
        <f t="shared" si="782"/>
        <v>0.83000507256490696</v>
      </c>
      <c r="H1278" s="1">
        <f t="shared" si="782"/>
        <v>0.83000507256490597</v>
      </c>
      <c r="I1278" s="1" t="str">
        <f t="shared" si="782"/>
        <v>-</v>
      </c>
      <c r="J1278" s="1">
        <f t="shared" si="782"/>
        <v>0.90934682089976426</v>
      </c>
      <c r="K1278" s="1">
        <f t="shared" si="782"/>
        <v>1.0100651337566098</v>
      </c>
    </row>
    <row r="1279" spans="2:11" x14ac:dyDescent="0.35">
      <c r="B1279" s="5" t="str">
        <f t="shared" si="777"/>
        <v>SPS3</v>
      </c>
      <c r="C1279" s="5" t="str">
        <f t="shared" si="775"/>
        <v>CH</v>
      </c>
      <c r="D1279" t="s">
        <v>1198</v>
      </c>
      <c r="E1279" t="str">
        <f t="shared" si="776"/>
        <v>km/MJ</v>
      </c>
      <c r="F1279" s="1" t="str">
        <f t="shared" ref="F1279:K1279" si="783">IFERROR(F1228/F1154,"-")</f>
        <v>-</v>
      </c>
      <c r="G1279" s="1">
        <f t="shared" si="783"/>
        <v>0.83675282096654158</v>
      </c>
      <c r="H1279" s="1">
        <f t="shared" si="783"/>
        <v>0.83675282096654247</v>
      </c>
      <c r="I1279" s="1" t="str">
        <f t="shared" si="783"/>
        <v>-</v>
      </c>
      <c r="J1279" s="1">
        <f t="shared" si="783"/>
        <v>0.9128788647812357</v>
      </c>
      <c r="K1279" s="1">
        <f t="shared" si="783"/>
        <v>1.0096454952894907</v>
      </c>
    </row>
    <row r="1280" spans="2:11" x14ac:dyDescent="0.35">
      <c r="B1280" s="5" t="str">
        <f t="shared" si="777"/>
        <v>SPS3</v>
      </c>
      <c r="C1280" s="5" t="str">
        <f t="shared" si="775"/>
        <v>CH</v>
      </c>
      <c r="D1280" t="s">
        <v>1233</v>
      </c>
      <c r="E1280" t="str">
        <f t="shared" si="776"/>
        <v>km/MJ</v>
      </c>
      <c r="F1280" s="1">
        <f t="shared" ref="F1280:K1293" si="784">IFERROR(F1229/F1160,"-")</f>
        <v>0.49379534694678301</v>
      </c>
      <c r="G1280" s="1">
        <f t="shared" si="784"/>
        <v>0.50503220860251419</v>
      </c>
      <c r="H1280" s="1">
        <f t="shared" si="784"/>
        <v>0.52188750108610937</v>
      </c>
      <c r="I1280" s="1">
        <f t="shared" si="784"/>
        <v>0.54997965522543624</v>
      </c>
      <c r="J1280" s="1" t="str">
        <f t="shared" si="784"/>
        <v>-</v>
      </c>
      <c r="K1280" s="1" t="str">
        <f t="shared" si="784"/>
        <v>-</v>
      </c>
    </row>
    <row r="1281" spans="2:11" x14ac:dyDescent="0.35">
      <c r="B1281" s="5" t="str">
        <f t="shared" si="777"/>
        <v>SPS3</v>
      </c>
      <c r="C1281" s="5" t="str">
        <f t="shared" si="775"/>
        <v>CH</v>
      </c>
      <c r="D1281" t="s">
        <v>1199</v>
      </c>
      <c r="E1281" t="str">
        <f t="shared" si="776"/>
        <v>km/MJ</v>
      </c>
      <c r="F1281" s="1">
        <f t="shared" si="784"/>
        <v>1.1454922945472683</v>
      </c>
      <c r="G1281" s="1">
        <f t="shared" si="784"/>
        <v>1.2365155706576245</v>
      </c>
      <c r="H1281" s="1">
        <f t="shared" si="784"/>
        <v>1.1680501393698899</v>
      </c>
      <c r="I1281" s="1">
        <f t="shared" si="784"/>
        <v>0.89213459920983651</v>
      </c>
      <c r="J1281" s="1">
        <f t="shared" si="784"/>
        <v>0.9318594221057469</v>
      </c>
      <c r="K1281" s="1">
        <f t="shared" si="784"/>
        <v>0.94816118703683583</v>
      </c>
    </row>
    <row r="1282" spans="2:11" x14ac:dyDescent="0.35">
      <c r="B1282" s="5" t="str">
        <f t="shared" si="777"/>
        <v>SPS3</v>
      </c>
      <c r="C1282" s="5" t="str">
        <f t="shared" si="775"/>
        <v>CH</v>
      </c>
      <c r="D1282" t="s">
        <v>1200</v>
      </c>
      <c r="E1282" t="str">
        <f t="shared" si="776"/>
        <v>km/MJ</v>
      </c>
      <c r="F1282" s="1">
        <f t="shared" si="784"/>
        <v>1.6348529147703501</v>
      </c>
      <c r="G1282" s="1">
        <f t="shared" si="784"/>
        <v>2.2525508914018211</v>
      </c>
      <c r="H1282" s="1">
        <f t="shared" si="784"/>
        <v>1.9864958763715683</v>
      </c>
      <c r="I1282" s="1">
        <f t="shared" si="784"/>
        <v>0.96894374098395797</v>
      </c>
      <c r="J1282" s="1">
        <f t="shared" si="784"/>
        <v>0.78454559225652021</v>
      </c>
      <c r="K1282" s="1">
        <f t="shared" si="784"/>
        <v>0.78824207793782997</v>
      </c>
    </row>
    <row r="1283" spans="2:11" x14ac:dyDescent="0.35">
      <c r="B1283" s="5" t="str">
        <f t="shared" si="777"/>
        <v>SPS3</v>
      </c>
      <c r="C1283" s="5" t="str">
        <f t="shared" si="775"/>
        <v>CH</v>
      </c>
      <c r="D1283" t="s">
        <v>1201</v>
      </c>
      <c r="E1283" t="str">
        <f t="shared" si="776"/>
        <v>km/MJ</v>
      </c>
      <c r="F1283" s="1">
        <f t="shared" si="784"/>
        <v>2.0003265496505045</v>
      </c>
      <c r="G1283" s="1">
        <f t="shared" si="784"/>
        <v>2.436915884002091</v>
      </c>
      <c r="H1283" s="1">
        <f t="shared" si="784"/>
        <v>2.4307744184338849</v>
      </c>
      <c r="I1283" s="1">
        <f t="shared" si="784"/>
        <v>2.4608748853178044</v>
      </c>
      <c r="J1283" s="1">
        <f t="shared" si="784"/>
        <v>0.75100592166895164</v>
      </c>
      <c r="K1283" s="1">
        <f t="shared" si="784"/>
        <v>0.70566440166073274</v>
      </c>
    </row>
    <row r="1284" spans="2:11" x14ac:dyDescent="0.35">
      <c r="B1284" s="5" t="str">
        <f t="shared" si="777"/>
        <v>SPS3</v>
      </c>
      <c r="C1284" s="5" t="str">
        <f t="shared" si="775"/>
        <v>CH</v>
      </c>
      <c r="D1284" t="s">
        <v>1202</v>
      </c>
      <c r="E1284" t="str">
        <f t="shared" si="776"/>
        <v>km/MJ</v>
      </c>
      <c r="F1284" s="1">
        <f t="shared" si="784"/>
        <v>1.1447795312582416</v>
      </c>
      <c r="G1284" s="1">
        <f t="shared" si="784"/>
        <v>1.3339722149493558</v>
      </c>
      <c r="H1284" s="1">
        <f t="shared" si="784"/>
        <v>1.3305779940344866</v>
      </c>
      <c r="I1284" s="1">
        <f t="shared" si="784"/>
        <v>1.3332364567383566</v>
      </c>
      <c r="J1284" s="1">
        <f t="shared" si="784"/>
        <v>0.70263013525392004</v>
      </c>
      <c r="K1284" s="1">
        <f t="shared" si="784"/>
        <v>0.69496659615793765</v>
      </c>
    </row>
    <row r="1285" spans="2:11" x14ac:dyDescent="0.35">
      <c r="B1285" s="5" t="str">
        <f t="shared" si="777"/>
        <v>SPS3</v>
      </c>
      <c r="C1285" s="5" t="str">
        <f t="shared" si="775"/>
        <v>CH</v>
      </c>
      <c r="D1285" t="s">
        <v>1203</v>
      </c>
      <c r="E1285" t="str">
        <f t="shared" si="776"/>
        <v>km/MJ</v>
      </c>
      <c r="F1285" s="1">
        <f t="shared" si="784"/>
        <v>0.2860394055091951</v>
      </c>
      <c r="G1285" s="1">
        <f t="shared" si="784"/>
        <v>0.29254854993039714</v>
      </c>
      <c r="H1285" s="1">
        <f t="shared" si="784"/>
        <v>0.30231226656220078</v>
      </c>
      <c r="I1285" s="1">
        <f t="shared" si="784"/>
        <v>0.31858512761520619</v>
      </c>
      <c r="J1285" s="1" t="str">
        <f t="shared" si="784"/>
        <v>-</v>
      </c>
      <c r="K1285" s="1" t="str">
        <f t="shared" si="784"/>
        <v>-</v>
      </c>
    </row>
    <row r="1286" spans="2:11" x14ac:dyDescent="0.35">
      <c r="B1286" s="5" t="str">
        <f t="shared" si="777"/>
        <v>SPS3</v>
      </c>
      <c r="C1286" s="5" t="str">
        <f t="shared" si="775"/>
        <v>CH</v>
      </c>
      <c r="D1286" t="s">
        <v>1204</v>
      </c>
      <c r="E1286" t="str">
        <f t="shared" si="776"/>
        <v>km/MJ</v>
      </c>
      <c r="F1286" s="1">
        <f t="shared" si="784"/>
        <v>0.69335854025183419</v>
      </c>
      <c r="G1286" s="1">
        <f t="shared" si="784"/>
        <v>0.6758198566439636</v>
      </c>
      <c r="H1286" s="1">
        <f t="shared" si="784"/>
        <v>0.62547761957419612</v>
      </c>
      <c r="I1286" s="1">
        <f t="shared" si="784"/>
        <v>0.62510468645422645</v>
      </c>
      <c r="J1286" s="1">
        <f t="shared" si="784"/>
        <v>0.59902784838498857</v>
      </c>
      <c r="K1286" s="1">
        <f t="shared" si="784"/>
        <v>0.62816200783532283</v>
      </c>
    </row>
    <row r="1287" spans="2:11" x14ac:dyDescent="0.35">
      <c r="B1287" s="5" t="str">
        <f t="shared" si="777"/>
        <v>SPS3</v>
      </c>
      <c r="C1287" s="5" t="str">
        <f t="shared" si="775"/>
        <v>CH</v>
      </c>
      <c r="D1287" t="s">
        <v>1205</v>
      </c>
      <c r="E1287" t="str">
        <f t="shared" si="776"/>
        <v>km/MJ</v>
      </c>
      <c r="F1287" s="1">
        <f t="shared" si="784"/>
        <v>0.60191352821157496</v>
      </c>
      <c r="G1287" s="1">
        <f t="shared" si="784"/>
        <v>0.60445955178934296</v>
      </c>
      <c r="H1287" s="1">
        <f t="shared" si="784"/>
        <v>0.61059578790407987</v>
      </c>
      <c r="I1287" s="1">
        <f t="shared" si="784"/>
        <v>0.61450640255784028</v>
      </c>
      <c r="J1287" s="1">
        <f t="shared" si="784"/>
        <v>0.49508365662610732</v>
      </c>
      <c r="K1287" s="1">
        <f t="shared" si="784"/>
        <v>0.50454300829944809</v>
      </c>
    </row>
    <row r="1288" spans="2:11" x14ac:dyDescent="0.35">
      <c r="B1288" s="5" t="str">
        <f t="shared" si="777"/>
        <v>SPS3</v>
      </c>
      <c r="C1288" s="5" t="str">
        <f t="shared" si="775"/>
        <v>CH</v>
      </c>
      <c r="D1288" t="s">
        <v>1206</v>
      </c>
      <c r="E1288" t="str">
        <f t="shared" si="776"/>
        <v>km/MJ</v>
      </c>
      <c r="F1288" s="1">
        <f t="shared" si="784"/>
        <v>0.51517967786765395</v>
      </c>
      <c r="G1288" s="1">
        <f t="shared" si="784"/>
        <v>0.51486161703382327</v>
      </c>
      <c r="H1288" s="1">
        <f t="shared" si="784"/>
        <v>0.51089656406137196</v>
      </c>
      <c r="I1288" s="1">
        <f t="shared" si="784"/>
        <v>0.51296691783222503</v>
      </c>
      <c r="J1288" s="1">
        <f t="shared" si="784"/>
        <v>0.48103929139122042</v>
      </c>
      <c r="K1288" s="1">
        <f t="shared" si="784"/>
        <v>0.46895179880015025</v>
      </c>
    </row>
    <row r="1289" spans="2:11" x14ac:dyDescent="0.35">
      <c r="B1289" s="5" t="str">
        <f t="shared" si="777"/>
        <v>SPS3</v>
      </c>
      <c r="C1289" s="5" t="str">
        <f t="shared" si="775"/>
        <v>CH</v>
      </c>
      <c r="D1289" t="s">
        <v>1207</v>
      </c>
      <c r="E1289" t="str">
        <f t="shared" si="776"/>
        <v>km/MJ</v>
      </c>
      <c r="F1289" s="1">
        <f t="shared" si="784"/>
        <v>0.43633697870728455</v>
      </c>
      <c r="G1289" s="1">
        <f t="shared" si="784"/>
        <v>0.43329842709875205</v>
      </c>
      <c r="H1289" s="1">
        <f t="shared" si="784"/>
        <v>0.43378649562684873</v>
      </c>
      <c r="I1289" s="1">
        <f t="shared" si="784"/>
        <v>0.43691558361535821</v>
      </c>
      <c r="J1289" s="1">
        <f t="shared" si="784"/>
        <v>0.43662430090062576</v>
      </c>
      <c r="K1289" s="1">
        <f t="shared" si="784"/>
        <v>0.47329901763586862</v>
      </c>
    </row>
    <row r="1290" spans="2:11" x14ac:dyDescent="0.35">
      <c r="B1290" s="5" t="str">
        <f t="shared" si="777"/>
        <v>SPS3</v>
      </c>
      <c r="C1290" s="5" t="str">
        <f t="shared" si="775"/>
        <v>CH</v>
      </c>
      <c r="D1290" t="s">
        <v>1208</v>
      </c>
      <c r="E1290" t="str">
        <f t="shared" si="776"/>
        <v>km/MJ</v>
      </c>
      <c r="F1290" s="1" t="str">
        <f t="shared" si="784"/>
        <v>-</v>
      </c>
      <c r="G1290" s="1">
        <f t="shared" si="784"/>
        <v>0.51837627625535154</v>
      </c>
      <c r="H1290" s="1">
        <f t="shared" si="784"/>
        <v>0.54045716414877765</v>
      </c>
      <c r="I1290" s="1">
        <f t="shared" si="784"/>
        <v>0.56631001525016555</v>
      </c>
      <c r="J1290" s="1">
        <f t="shared" si="784"/>
        <v>0.63339793939010447</v>
      </c>
      <c r="K1290" s="1">
        <f t="shared" si="784"/>
        <v>0.71182816216617328</v>
      </c>
    </row>
    <row r="1291" spans="2:11" x14ac:dyDescent="0.35">
      <c r="B1291" s="5" t="str">
        <f t="shared" si="777"/>
        <v>SPS3</v>
      </c>
      <c r="C1291" s="5" t="str">
        <f t="shared" si="775"/>
        <v>CH</v>
      </c>
      <c r="D1291" t="s">
        <v>1209</v>
      </c>
      <c r="E1291" t="str">
        <f t="shared" si="776"/>
        <v>km/MJ</v>
      </c>
      <c r="F1291" s="1" t="str">
        <f t="shared" si="784"/>
        <v>-</v>
      </c>
      <c r="G1291" s="1">
        <f t="shared" si="784"/>
        <v>0.41733711223535053</v>
      </c>
      <c r="H1291" s="1">
        <f t="shared" si="784"/>
        <v>0.43700368148719554</v>
      </c>
      <c r="I1291" s="1">
        <f t="shared" si="784"/>
        <v>0.46292316638733116</v>
      </c>
      <c r="J1291" s="1">
        <f t="shared" si="784"/>
        <v>0.51218196407974492</v>
      </c>
      <c r="K1291" s="1">
        <f t="shared" si="784"/>
        <v>0.57754635283869671</v>
      </c>
    </row>
    <row r="1292" spans="2:11" x14ac:dyDescent="0.35">
      <c r="B1292" s="5" t="str">
        <f t="shared" si="777"/>
        <v>SPS3</v>
      </c>
      <c r="C1292" s="5" t="str">
        <f t="shared" si="775"/>
        <v>CH</v>
      </c>
      <c r="D1292" t="s">
        <v>1210</v>
      </c>
      <c r="E1292" t="str">
        <f t="shared" si="776"/>
        <v>km/MJ</v>
      </c>
      <c r="F1292" s="1" t="str">
        <f t="shared" si="784"/>
        <v>-</v>
      </c>
      <c r="G1292" s="1">
        <f t="shared" si="784"/>
        <v>0.3879699099553866</v>
      </c>
      <c r="H1292" s="1">
        <f t="shared" si="784"/>
        <v>0.40488843233526334</v>
      </c>
      <c r="I1292" s="1">
        <f t="shared" si="784"/>
        <v>0.42818400577772164</v>
      </c>
      <c r="J1292" s="1">
        <f t="shared" si="784"/>
        <v>0.47412934918011107</v>
      </c>
      <c r="K1292" s="1">
        <f t="shared" si="784"/>
        <v>0.53839909326537905</v>
      </c>
    </row>
    <row r="1293" spans="2:11" x14ac:dyDescent="0.35">
      <c r="B1293" s="5" t="str">
        <f t="shared" si="777"/>
        <v>SPS3</v>
      </c>
      <c r="C1293" s="5" t="str">
        <f t="shared" si="775"/>
        <v>CH</v>
      </c>
      <c r="D1293" t="s">
        <v>1211</v>
      </c>
      <c r="E1293" t="str">
        <f t="shared" si="776"/>
        <v>km/MJ</v>
      </c>
      <c r="F1293" s="1" t="str">
        <f t="shared" si="784"/>
        <v>-</v>
      </c>
      <c r="G1293" s="1">
        <f t="shared" si="784"/>
        <v>0.3933245874771138</v>
      </c>
      <c r="H1293" s="1">
        <f t="shared" si="784"/>
        <v>0.40975687359407253</v>
      </c>
      <c r="I1293" s="1">
        <f t="shared" si="784"/>
        <v>0.43749501514769862</v>
      </c>
      <c r="J1293" s="1">
        <f t="shared" si="784"/>
        <v>0.47503050775488731</v>
      </c>
      <c r="K1293" s="1">
        <f t="shared" si="784"/>
        <v>0.53924439327262585</v>
      </c>
    </row>
    <row r="1294" spans="2:11" x14ac:dyDescent="0.35">
      <c r="B1294" s="5" t="str">
        <f t="shared" si="777"/>
        <v>SPS3</v>
      </c>
      <c r="C1294" s="5" t="str">
        <f t="shared" si="775"/>
        <v>CH</v>
      </c>
      <c r="D1294" t="s">
        <v>1235</v>
      </c>
      <c r="E1294" t="str">
        <f t="shared" si="776"/>
        <v>km/MJ</v>
      </c>
      <c r="F1294" s="1" t="str">
        <f t="shared" ref="F1294:K1307" si="785">IFERROR(F1243/F1183,"-")</f>
        <v>-</v>
      </c>
      <c r="G1294" s="1" t="str">
        <f t="shared" si="785"/>
        <v>-</v>
      </c>
      <c r="H1294" s="1" t="str">
        <f t="shared" si="785"/>
        <v>-</v>
      </c>
      <c r="I1294" s="1" t="str">
        <f t="shared" si="785"/>
        <v>-</v>
      </c>
      <c r="J1294" s="1" t="str">
        <f t="shared" si="785"/>
        <v>-</v>
      </c>
      <c r="K1294" s="1" t="str">
        <f t="shared" si="785"/>
        <v>-</v>
      </c>
    </row>
    <row r="1295" spans="2:11" x14ac:dyDescent="0.35">
      <c r="B1295" s="5" t="str">
        <f t="shared" si="777"/>
        <v>SPS3</v>
      </c>
      <c r="C1295" s="5" t="str">
        <f t="shared" si="775"/>
        <v>CH</v>
      </c>
      <c r="D1295" t="s">
        <v>1212</v>
      </c>
      <c r="E1295" t="str">
        <f t="shared" si="776"/>
        <v>km/MJ</v>
      </c>
      <c r="F1295" s="1">
        <f t="shared" si="785"/>
        <v>0.41824117647058812</v>
      </c>
      <c r="G1295" s="1">
        <f t="shared" si="785"/>
        <v>1.6976339134835861</v>
      </c>
      <c r="H1295" s="1">
        <f t="shared" si="785"/>
        <v>1.6587802353390928</v>
      </c>
      <c r="I1295" s="1">
        <f t="shared" si="785"/>
        <v>1.402221966214833</v>
      </c>
      <c r="J1295" s="1">
        <f t="shared" si="785"/>
        <v>0.94152670721703136</v>
      </c>
      <c r="K1295" s="1">
        <f t="shared" si="785"/>
        <v>0.94719893547508049</v>
      </c>
    </row>
    <row r="1296" spans="2:11" x14ac:dyDescent="0.35">
      <c r="B1296" s="5" t="str">
        <f t="shared" si="777"/>
        <v>SPS3</v>
      </c>
      <c r="C1296" s="5" t="str">
        <f t="shared" si="775"/>
        <v>CH</v>
      </c>
      <c r="D1296" t="s">
        <v>1213</v>
      </c>
      <c r="E1296" t="str">
        <f t="shared" si="776"/>
        <v>km/MJ</v>
      </c>
      <c r="F1296" s="1">
        <f t="shared" si="785"/>
        <v>1.1770170505651469</v>
      </c>
      <c r="G1296" s="1">
        <f t="shared" si="785"/>
        <v>2.677532302630353</v>
      </c>
      <c r="H1296" s="1">
        <f t="shared" si="785"/>
        <v>2.1872478625291607</v>
      </c>
      <c r="I1296" s="1">
        <f t="shared" si="785"/>
        <v>0.9751294201007199</v>
      </c>
      <c r="J1296" s="1">
        <f t="shared" si="785"/>
        <v>0.7781347096337643</v>
      </c>
      <c r="K1296" s="1">
        <f t="shared" si="785"/>
        <v>0.78695284226583351</v>
      </c>
    </row>
    <row r="1297" spans="2:11" x14ac:dyDescent="0.35">
      <c r="B1297" s="5" t="str">
        <f t="shared" si="777"/>
        <v>SPS3</v>
      </c>
      <c r="C1297" s="5" t="str">
        <f t="shared" si="775"/>
        <v>CH</v>
      </c>
      <c r="D1297" t="s">
        <v>1214</v>
      </c>
      <c r="E1297" t="str">
        <f t="shared" si="776"/>
        <v>km/MJ</v>
      </c>
      <c r="F1297" s="1">
        <f t="shared" si="785"/>
        <v>0.90948912314031882</v>
      </c>
      <c r="G1297" s="1">
        <f t="shared" si="785"/>
        <v>1.2050696179785281</v>
      </c>
      <c r="H1297" s="1">
        <f t="shared" si="785"/>
        <v>1.2020116890007972</v>
      </c>
      <c r="I1297" s="1">
        <f t="shared" si="785"/>
        <v>1.2469509386682871</v>
      </c>
      <c r="J1297" s="1">
        <f t="shared" si="785"/>
        <v>0.71673683296255575</v>
      </c>
      <c r="K1297" s="1">
        <f t="shared" si="785"/>
        <v>0.70674796547686125</v>
      </c>
    </row>
    <row r="1298" spans="2:11" x14ac:dyDescent="0.35">
      <c r="B1298" s="5" t="str">
        <f t="shared" si="777"/>
        <v>SPS3</v>
      </c>
      <c r="C1298" s="5" t="str">
        <f t="shared" si="775"/>
        <v>CH</v>
      </c>
      <c r="D1298" t="s">
        <v>1215</v>
      </c>
      <c r="E1298" t="str">
        <f t="shared" si="776"/>
        <v>km/MJ</v>
      </c>
      <c r="F1298" s="1">
        <f t="shared" si="785"/>
        <v>1.344734255768081</v>
      </c>
      <c r="G1298" s="1">
        <f t="shared" si="785"/>
        <v>1.5816819147683379</v>
      </c>
      <c r="H1298" s="1">
        <f t="shared" si="785"/>
        <v>1.5870786414418045</v>
      </c>
      <c r="I1298" s="1">
        <f t="shared" si="785"/>
        <v>1.5932955297532465</v>
      </c>
      <c r="J1298" s="1">
        <f t="shared" si="785"/>
        <v>0.70338085034154529</v>
      </c>
      <c r="K1298" s="1">
        <f t="shared" si="785"/>
        <v>0.69661720662536497</v>
      </c>
    </row>
    <row r="1299" spans="2:11" x14ac:dyDescent="0.35">
      <c r="B1299" s="5" t="str">
        <f t="shared" si="777"/>
        <v>SPS3</v>
      </c>
      <c r="C1299" s="5" t="str">
        <f t="shared" si="775"/>
        <v>CH</v>
      </c>
      <c r="D1299" t="s">
        <v>1216</v>
      </c>
      <c r="E1299" t="str">
        <f t="shared" si="776"/>
        <v>km/MJ</v>
      </c>
      <c r="F1299" s="1">
        <f t="shared" si="785"/>
        <v>0.33901850024086022</v>
      </c>
      <c r="G1299" s="1">
        <f t="shared" si="785"/>
        <v>0.35391427166601108</v>
      </c>
      <c r="H1299" s="1">
        <f t="shared" si="785"/>
        <v>0.37625792880373726</v>
      </c>
      <c r="I1299" s="1">
        <f t="shared" si="785"/>
        <v>0.41349735736661475</v>
      </c>
      <c r="J1299" s="1" t="str">
        <f t="shared" si="785"/>
        <v>-</v>
      </c>
      <c r="K1299" s="1" t="str">
        <f t="shared" si="785"/>
        <v>-</v>
      </c>
    </row>
    <row r="1300" spans="2:11" x14ac:dyDescent="0.35">
      <c r="B1300" s="5" t="str">
        <f t="shared" si="777"/>
        <v>SPS3</v>
      </c>
      <c r="C1300" s="5" t="str">
        <f t="shared" si="775"/>
        <v>CH</v>
      </c>
      <c r="D1300" t="s">
        <v>1217</v>
      </c>
      <c r="E1300" t="str">
        <f t="shared" si="776"/>
        <v>km/MJ</v>
      </c>
      <c r="F1300" s="1">
        <f t="shared" si="785"/>
        <v>0.74970074627360095</v>
      </c>
      <c r="G1300" s="1">
        <f t="shared" si="785"/>
        <v>0.80766667264468495</v>
      </c>
      <c r="H1300" s="1">
        <f t="shared" si="785"/>
        <v>0.80300470778850408</v>
      </c>
      <c r="I1300" s="1">
        <f t="shared" si="785"/>
        <v>0.78513897959278023</v>
      </c>
      <c r="J1300" s="1">
        <f t="shared" si="785"/>
        <v>0.65527138149265207</v>
      </c>
      <c r="K1300" s="1">
        <f t="shared" si="785"/>
        <v>0.65127760809627522</v>
      </c>
    </row>
    <row r="1301" spans="2:11" x14ac:dyDescent="0.35">
      <c r="B1301" s="5" t="str">
        <f t="shared" si="777"/>
        <v>SPS3</v>
      </c>
      <c r="C1301" s="5" t="str">
        <f t="shared" si="775"/>
        <v>CH</v>
      </c>
      <c r="D1301" t="s">
        <v>1218</v>
      </c>
      <c r="E1301" t="str">
        <f t="shared" si="776"/>
        <v>km/MJ</v>
      </c>
      <c r="F1301" s="1">
        <f t="shared" si="785"/>
        <v>0.70448068721326995</v>
      </c>
      <c r="G1301" s="1">
        <f t="shared" si="785"/>
        <v>0.70382015057766689</v>
      </c>
      <c r="H1301" s="1">
        <f t="shared" si="785"/>
        <v>0.72521638816756395</v>
      </c>
      <c r="I1301" s="1">
        <f t="shared" si="785"/>
        <v>0.76219206466181444</v>
      </c>
      <c r="J1301" s="1">
        <f t="shared" si="785"/>
        <v>0.52691805291948524</v>
      </c>
      <c r="K1301" s="1">
        <f t="shared" si="785"/>
        <v>0.52262562375013422</v>
      </c>
    </row>
    <row r="1302" spans="2:11" x14ac:dyDescent="0.35">
      <c r="B1302" s="5" t="str">
        <f t="shared" si="777"/>
        <v>SPS3</v>
      </c>
      <c r="C1302" s="5" t="str">
        <f t="shared" si="775"/>
        <v>CH</v>
      </c>
      <c r="D1302" t="s">
        <v>1219</v>
      </c>
      <c r="E1302" t="str">
        <f t="shared" si="776"/>
        <v>km/MJ</v>
      </c>
      <c r="F1302" s="1">
        <f t="shared" si="785"/>
        <v>0.53874957069386831</v>
      </c>
      <c r="G1302" s="1">
        <f t="shared" si="785"/>
        <v>0.53243711536822302</v>
      </c>
      <c r="H1302" s="1">
        <f t="shared" si="785"/>
        <v>0.53197215585357838</v>
      </c>
      <c r="I1302" s="1">
        <f t="shared" si="785"/>
        <v>0.54120414213981449</v>
      </c>
      <c r="J1302" s="1">
        <f t="shared" si="785"/>
        <v>0.47827214492615899</v>
      </c>
      <c r="K1302" s="1">
        <f t="shared" si="785"/>
        <v>0.485776788111344</v>
      </c>
    </row>
    <row r="1303" spans="2:11" x14ac:dyDescent="0.35">
      <c r="B1303" s="5" t="str">
        <f t="shared" si="777"/>
        <v>SPS3</v>
      </c>
      <c r="C1303" s="5" t="str">
        <f t="shared" si="775"/>
        <v>CH</v>
      </c>
      <c r="D1303" t="s">
        <v>1220</v>
      </c>
      <c r="E1303" t="str">
        <f t="shared" si="776"/>
        <v>km/MJ</v>
      </c>
      <c r="F1303" s="1">
        <f t="shared" si="785"/>
        <v>0.46601344937733918</v>
      </c>
      <c r="G1303" s="1">
        <f t="shared" si="785"/>
        <v>0.45573754397138649</v>
      </c>
      <c r="H1303" s="1">
        <f t="shared" si="785"/>
        <v>0.456790571545861</v>
      </c>
      <c r="I1303" s="1">
        <f t="shared" si="785"/>
        <v>0.46317156319490782</v>
      </c>
      <c r="J1303" s="1">
        <f t="shared" si="785"/>
        <v>0.43960262052125548</v>
      </c>
      <c r="K1303" s="1">
        <f t="shared" si="785"/>
        <v>0.45905182841025888</v>
      </c>
    </row>
    <row r="1304" spans="2:11" x14ac:dyDescent="0.35">
      <c r="B1304" s="5" t="str">
        <f t="shared" si="777"/>
        <v>SPS3</v>
      </c>
      <c r="C1304" s="5" t="str">
        <f t="shared" si="775"/>
        <v>CH</v>
      </c>
      <c r="D1304" t="s">
        <v>1221</v>
      </c>
      <c r="E1304" t="str">
        <f t="shared" si="776"/>
        <v>km/MJ</v>
      </c>
      <c r="F1304" s="1" t="str">
        <f t="shared" si="785"/>
        <v>-</v>
      </c>
      <c r="G1304" s="1">
        <f t="shared" si="785"/>
        <v>0.56203544748554624</v>
      </c>
      <c r="H1304" s="1">
        <f t="shared" si="785"/>
        <v>0.58202794815429071</v>
      </c>
      <c r="I1304" s="1">
        <f t="shared" si="785"/>
        <v>0.60718725764351911</v>
      </c>
      <c r="J1304" s="1">
        <f t="shared" si="785"/>
        <v>0.66102705051548816</v>
      </c>
      <c r="K1304" s="1">
        <f t="shared" si="785"/>
        <v>0.73261064451065372</v>
      </c>
    </row>
    <row r="1305" spans="2:11" x14ac:dyDescent="0.35">
      <c r="B1305" s="5" t="str">
        <f t="shared" si="777"/>
        <v>SPS3</v>
      </c>
      <c r="C1305" s="5" t="str">
        <f t="shared" si="775"/>
        <v>CH</v>
      </c>
      <c r="D1305" t="s">
        <v>1222</v>
      </c>
      <c r="E1305" t="str">
        <f t="shared" si="776"/>
        <v>km/MJ</v>
      </c>
      <c r="F1305" s="1" t="str">
        <f t="shared" si="785"/>
        <v>-</v>
      </c>
      <c r="G1305" s="1">
        <f t="shared" si="785"/>
        <v>0.45210145766281462</v>
      </c>
      <c r="H1305" s="1">
        <f t="shared" si="785"/>
        <v>0.46994879216144775</v>
      </c>
      <c r="I1305" s="1">
        <f t="shared" si="785"/>
        <v>0.49494402116685282</v>
      </c>
      <c r="J1305" s="1">
        <f t="shared" si="785"/>
        <v>0.53522280073830664</v>
      </c>
      <c r="K1305" s="1">
        <f t="shared" si="785"/>
        <v>0.59514137689841895</v>
      </c>
    </row>
    <row r="1306" spans="2:11" x14ac:dyDescent="0.35">
      <c r="B1306" s="5" t="str">
        <f t="shared" si="777"/>
        <v>SPS3</v>
      </c>
      <c r="C1306" s="5" t="str">
        <f t="shared" si="775"/>
        <v>CH</v>
      </c>
      <c r="D1306" t="s">
        <v>1223</v>
      </c>
      <c r="E1306" t="str">
        <f t="shared" si="776"/>
        <v>km/MJ</v>
      </c>
      <c r="F1306" s="1" t="str">
        <f t="shared" si="785"/>
        <v>-</v>
      </c>
      <c r="G1306" s="1">
        <f t="shared" si="785"/>
        <v>0.42028149632876877</v>
      </c>
      <c r="H1306" s="1">
        <f t="shared" si="785"/>
        <v>0.43603806245710541</v>
      </c>
      <c r="I1306" s="1">
        <f t="shared" si="785"/>
        <v>0.45857289261514567</v>
      </c>
      <c r="J1306" s="1">
        <f t="shared" si="785"/>
        <v>0.49580115517467238</v>
      </c>
      <c r="K1306" s="1">
        <f t="shared" si="785"/>
        <v>0.55469794730904898</v>
      </c>
    </row>
    <row r="1307" spans="2:11" x14ac:dyDescent="0.35">
      <c r="B1307" s="5" t="str">
        <f t="shared" si="777"/>
        <v>SPS3</v>
      </c>
      <c r="C1307" s="5" t="str">
        <f t="shared" si="775"/>
        <v>CH</v>
      </c>
      <c r="D1307" t="s">
        <v>1224</v>
      </c>
      <c r="E1307" t="str">
        <f t="shared" si="776"/>
        <v>km/MJ</v>
      </c>
      <c r="F1307" s="1" t="str">
        <f t="shared" si="785"/>
        <v>-</v>
      </c>
      <c r="G1307" s="1">
        <f t="shared" si="785"/>
        <v>0.39943403925494819</v>
      </c>
      <c r="H1307" s="1">
        <f t="shared" si="785"/>
        <v>0.41284769480602607</v>
      </c>
      <c r="I1307" s="1">
        <f t="shared" si="785"/>
        <v>0.43130716398521651</v>
      </c>
      <c r="J1307" s="1">
        <f t="shared" si="785"/>
        <v>0.47830013916142278</v>
      </c>
      <c r="K1307" s="1">
        <f t="shared" si="785"/>
        <v>0.52504648197468717</v>
      </c>
    </row>
    <row r="1308" spans="2:11" x14ac:dyDescent="0.35">
      <c r="B1308" s="5" t="str">
        <f t="shared" si="777"/>
        <v>SPS3</v>
      </c>
      <c r="C1308" s="5" t="str">
        <f t="shared" si="775"/>
        <v>CH</v>
      </c>
      <c r="D1308" t="s">
        <v>1225</v>
      </c>
      <c r="E1308" t="str">
        <f t="shared" si="776"/>
        <v>km/MJ</v>
      </c>
      <c r="F1308" s="1" t="str">
        <f>IFERROR(F1257/F1206,"-")</f>
        <v>-</v>
      </c>
      <c r="G1308" s="1">
        <f t="shared" ref="G1308:K1312" si="786">IFERROR(G1257/G1197,"-")</f>
        <v>0</v>
      </c>
      <c r="H1308" s="1">
        <f t="shared" si="786"/>
        <v>0</v>
      </c>
      <c r="I1308" s="1">
        <f t="shared" si="786"/>
        <v>0</v>
      </c>
      <c r="J1308" s="1">
        <f t="shared" si="786"/>
        <v>0</v>
      </c>
      <c r="K1308" s="1">
        <f t="shared" si="786"/>
        <v>0</v>
      </c>
    </row>
    <row r="1309" spans="2:11" x14ac:dyDescent="0.35">
      <c r="B1309" s="5" t="str">
        <f t="shared" si="777"/>
        <v>SPS3</v>
      </c>
      <c r="C1309" s="5" t="str">
        <f t="shared" si="775"/>
        <v>CH</v>
      </c>
      <c r="D1309" t="s">
        <v>1226</v>
      </c>
      <c r="E1309" t="str">
        <f t="shared" si="776"/>
        <v>km/MJ</v>
      </c>
      <c r="F1309" s="1">
        <f>IFERROR(F1258/F1207,"-")</f>
        <v>0.61547525067157149</v>
      </c>
      <c r="G1309" s="1">
        <f t="shared" si="786"/>
        <v>0.5910222192440554</v>
      </c>
      <c r="H1309" s="1">
        <f t="shared" si="786"/>
        <v>0.24285861024492902</v>
      </c>
      <c r="I1309" s="1">
        <f t="shared" si="786"/>
        <v>4.6320036493827224E-2</v>
      </c>
      <c r="J1309" s="1">
        <f t="shared" si="786"/>
        <v>3.2276448461784027E-2</v>
      </c>
      <c r="K1309" s="1">
        <f t="shared" si="786"/>
        <v>4.1278512050171606E-2</v>
      </c>
    </row>
    <row r="1310" spans="2:11" x14ac:dyDescent="0.35">
      <c r="B1310" s="5" t="str">
        <f t="shared" si="777"/>
        <v>SPS3</v>
      </c>
      <c r="C1310" s="5" t="str">
        <f t="shared" si="775"/>
        <v>CH</v>
      </c>
      <c r="D1310" t="s">
        <v>1227</v>
      </c>
      <c r="E1310" t="str">
        <f t="shared" si="776"/>
        <v>km/MJ</v>
      </c>
      <c r="F1310" s="1">
        <f>IFERROR(F1259/F1208,"-")</f>
        <v>0.63175764053756833</v>
      </c>
      <c r="G1310" s="1">
        <f t="shared" si="786"/>
        <v>0.21352529153714281</v>
      </c>
      <c r="H1310" s="1">
        <f t="shared" si="786"/>
        <v>3.5850782891640566E-3</v>
      </c>
      <c r="I1310" s="1">
        <f t="shared" si="786"/>
        <v>1.980993097211176E-4</v>
      </c>
      <c r="J1310" s="1">
        <f t="shared" si="786"/>
        <v>5.274753863006972E-5</v>
      </c>
      <c r="K1310" s="1">
        <f t="shared" si="786"/>
        <v>6.3406986569446996E-5</v>
      </c>
    </row>
    <row r="1311" spans="2:11" x14ac:dyDescent="0.35">
      <c r="B1311" s="5" t="str">
        <f t="shared" si="777"/>
        <v>SPS3</v>
      </c>
      <c r="C1311" s="5" t="str">
        <f t="shared" si="775"/>
        <v>CH</v>
      </c>
      <c r="D1311" t="s">
        <v>1228</v>
      </c>
      <c r="E1311" t="str">
        <f t="shared" si="776"/>
        <v>km/MJ</v>
      </c>
      <c r="F1311" s="1">
        <f>IFERROR(F1260/F1209,"-")</f>
        <v>0.46833574230983099</v>
      </c>
      <c r="G1311" s="1">
        <f t="shared" si="786"/>
        <v>4.0206711892618291E-2</v>
      </c>
      <c r="H1311" s="1">
        <f t="shared" si="786"/>
        <v>4.405681504825066E-2</v>
      </c>
      <c r="I1311" s="1">
        <f t="shared" si="786"/>
        <v>3.0522789496278957E-2</v>
      </c>
      <c r="J1311" s="1">
        <f t="shared" si="786"/>
        <v>3.5345031345306963E-2</v>
      </c>
      <c r="K1311" s="1">
        <f t="shared" si="786"/>
        <v>2.4892970233284167E-2</v>
      </c>
    </row>
    <row r="1312" spans="2:11" x14ac:dyDescent="0.35">
      <c r="B1312" s="5" t="str">
        <f t="shared" si="777"/>
        <v>SPS3</v>
      </c>
      <c r="C1312" s="5" t="str">
        <f t="shared" si="775"/>
        <v>CH</v>
      </c>
      <c r="D1312" t="s">
        <v>1229</v>
      </c>
      <c r="E1312" t="str">
        <f t="shared" si="776"/>
        <v>km/MJ</v>
      </c>
      <c r="F1312" s="1">
        <f>IFERROR(F1261/F1210,"-")</f>
        <v>0.68269388308645718</v>
      </c>
      <c r="G1312" s="1">
        <f t="shared" si="786"/>
        <v>0.5306474546331541</v>
      </c>
      <c r="H1312" s="1">
        <f t="shared" si="786"/>
        <v>0.53180301376957495</v>
      </c>
      <c r="I1312" s="1">
        <f t="shared" si="786"/>
        <v>0.12646308539596673</v>
      </c>
      <c r="J1312" s="1">
        <f t="shared" si="786"/>
        <v>0.18118925103470998</v>
      </c>
      <c r="K1312" s="1">
        <f t="shared" si="786"/>
        <v>0.15570657050652351</v>
      </c>
    </row>
    <row r="1313" spans="2:16" x14ac:dyDescent="0.35">
      <c r="B1313" s="9" t="str">
        <f t="shared" si="777"/>
        <v>SPS3</v>
      </c>
      <c r="C1313" s="9" t="str">
        <f t="shared" ref="C1313" si="787">C1312</f>
        <v>CH</v>
      </c>
      <c r="D1313" s="2" t="s">
        <v>1305</v>
      </c>
      <c r="E1313" s="2" t="s">
        <v>8</v>
      </c>
      <c r="F1313" s="3">
        <f>F1314+F1320+F1325+F1339</f>
        <v>0.76131135931741623</v>
      </c>
      <c r="G1313" s="3">
        <f t="shared" ref="G1313:K1313" si="788">G1314+G1320+G1325+G1339</f>
        <v>1.349329616147587</v>
      </c>
      <c r="H1313" s="3">
        <f t="shared" si="788"/>
        <v>2.2938183106227923</v>
      </c>
      <c r="I1313" s="3">
        <f t="shared" si="788"/>
        <v>1.2972108628424237</v>
      </c>
      <c r="J1313" s="3">
        <f t="shared" si="788"/>
        <v>1.2368797950645252</v>
      </c>
      <c r="K1313" s="3">
        <f t="shared" si="788"/>
        <v>1.2049981970498558</v>
      </c>
      <c r="M1313" s="3"/>
      <c r="N1313" s="3"/>
      <c r="O1313" s="3"/>
      <c r="P1313" s="3"/>
    </row>
    <row r="1314" spans="2:16" x14ac:dyDescent="0.35">
      <c r="B1314" s="5" t="str">
        <f t="shared" si="777"/>
        <v>SPS3</v>
      </c>
      <c r="C1314" s="5" t="str">
        <f>C1313</f>
        <v>CH</v>
      </c>
      <c r="D1314" t="s">
        <v>1307</v>
      </c>
      <c r="E1314" t="s">
        <v>8</v>
      </c>
      <c r="F1314" s="1">
        <f>SUM(F1315:F1319)</f>
        <v>6.3629110640963712E-3</v>
      </c>
      <c r="G1314" s="1">
        <f t="shared" ref="G1314:K1314" si="789">SUM(G1315:G1319)</f>
        <v>8.3205388890409578E-3</v>
      </c>
      <c r="H1314" s="1">
        <f t="shared" si="789"/>
        <v>1.5163590160361999E-2</v>
      </c>
      <c r="I1314" s="1">
        <f t="shared" si="789"/>
        <v>1.0939007698845684</v>
      </c>
      <c r="J1314" s="1">
        <f t="shared" si="789"/>
        <v>1.1399237909398949</v>
      </c>
      <c r="K1314" s="1">
        <f t="shared" si="789"/>
        <v>1.0921681801746652</v>
      </c>
    </row>
    <row r="1315" spans="2:16" x14ac:dyDescent="0.35">
      <c r="B1315" s="5" t="str">
        <f t="shared" si="777"/>
        <v>SPS3</v>
      </c>
      <c r="C1315" s="5" t="str">
        <f t="shared" ref="C1315:C1348" si="790">C1314</f>
        <v>CH</v>
      </c>
      <c r="D1315" t="s">
        <v>1308</v>
      </c>
      <c r="E1315" t="s">
        <v>8</v>
      </c>
      <c r="F1315" s="1" cm="1">
        <f t="array" ref="F1315">SUMPRODUCT(("T_B_u-BeVELCEXT"=[1]OUT_TransportEnergyCons!$A$3:$A$1000)*1,("Var_Fin"=[1]OUT_TransportEnergyCons!$B$3:$B$1000)*1,ISNUMBER(SEARCH("ELC",[1]OUT_TransportEnergyCons!$C$3:$C$1000))*1,[1]OUT_TransportEnergyCons!D$3:D$1000)</f>
        <v>4.7148325875690514E-4</v>
      </c>
      <c r="G1315" s="1" cm="1">
        <f t="array" ref="G1315">SUMPRODUCT(("T_B_u-BeVELCEXT"=[1]OUT_TransportEnergyCons!$A$3:$A$1000)*1,("Var_Fin"=[1]OUT_TransportEnergyCons!$B$3:$B$1000)*1,ISNUMBER(SEARCH("ELC",[1]OUT_TransportEnergyCons!$C$3:$C$1000))*1,[1]OUT_TransportEnergyCons!E$3:E$1000)</f>
        <v>4.7836175564923986E-4</v>
      </c>
      <c r="H1315" s="1" cm="1">
        <f t="array" ref="H1315">SUMPRODUCT(("T_B_u-BeVELCEXT"=[1]OUT_TransportEnergyCons!$A$3:$A$1000)*1,("Var_Fin"=[1]OUT_TransportEnergyCons!$B$3:$B$1000)*1,ISNUMBER(SEARCH("ELC",[1]OUT_TransportEnergyCons!$C$3:$C$1000))*1,[1]OUT_TransportEnergyCons!F$3:F$1000)</f>
        <v>4.6887654970222494E-4</v>
      </c>
      <c r="I1315" s="1" cm="1">
        <f t="array" ref="I1315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5" s="1" cm="1">
        <f t="array" ref="J1315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5" s="1" cm="1">
        <f t="array" ref="K1315">SUMPRODUCT(("T_B_u-BeVELCEXT"=[1]OUT_TransportEnergyCons!$A$3:$A$1000)*1,("Var_Fin"=[1]OUT_TransportEnergyCons!$B$3:$B$1000)*1,ISNUMBER(SEARCH("ELC",[1]OUT_TransportEnergyCons!$C$3:$C$1000))*1,[1]OUT_TransportEnergyCons!I$3:I$1000)</f>
        <v>0</v>
      </c>
    </row>
    <row r="1316" spans="2:16" x14ac:dyDescent="0.35">
      <c r="B1316" s="5" t="str">
        <f t="shared" si="777"/>
        <v>SPS3</v>
      </c>
      <c r="C1316" s="5" t="str">
        <f t="shared" si="790"/>
        <v>CH</v>
      </c>
      <c r="D1316" t="s">
        <v>1309</v>
      </c>
      <c r="E1316" t="s">
        <v>8</v>
      </c>
      <c r="F1316" s="1" cm="1">
        <f t="array" ref="F1316">SUMPRODUCT(("T_B_u-BEVELC-S1"=[1]OUT_TransportEnergyCons!$A$3:$A$1000)*1,("Var_Fin"=[1]OUT_TransportEnergyCons!$B$3:$B$1000)*1,ISNUMBER(SEARCH("ELC",[1]OUT_TransportEnergyCons!$C$3:$C$1000))*1,[1]OUT_TransportEnergyCons!D$3:D$1000)</f>
        <v>2.4567870259649539E-7</v>
      </c>
      <c r="G1316" s="1" cm="1">
        <f t="array" ref="G1316">SUMPRODUCT(("T_B_u-BEVELC-S1"=[1]OUT_TransportEnergyCons!$A$3:$A$1000)*1,("Var_Fin"=[1]OUT_TransportEnergyCons!$B$3:$B$1000)*1,ISNUMBER(SEARCH("ELC",[1]OUT_TransportEnergyCons!$C$3:$C$1000))*1,[1]OUT_TransportEnergyCons!E$3:E$1000)</f>
        <v>1.1398103324427233E-3</v>
      </c>
      <c r="H1316" s="1" cm="1">
        <f t="array" ref="H1316">SUMPRODUCT(("T_B_u-BEVELC-S1"=[1]OUT_TransportEnergyCons!$A$3:$A$1000)*1,("Var_Fin"=[1]OUT_TransportEnergyCons!$B$3:$B$1000)*1,ISNUMBER(SEARCH("ELC",[1]OUT_TransportEnergyCons!$C$3:$C$1000))*1,[1]OUT_TransportEnergyCons!F$3:F$1000)</f>
        <v>3.1182141112885537E-3</v>
      </c>
      <c r="I1316" s="1" cm="1">
        <f t="array" ref="I1316">SUMPRODUCT(("T_B_u-BEVELC-S1"=[1]OUT_TransportEnergyCons!$A$3:$A$1000)*1,("Var_Fin"=[1]OUT_TransportEnergyCons!$B$3:$B$1000)*1,ISNUMBER(SEARCH("ELC",[1]OUT_TransportEnergyCons!$C$3:$C$1000))*1,[1]OUT_TransportEnergyCons!G$3:G$1000)</f>
        <v>0.24532442058738999</v>
      </c>
      <c r="J1316" s="1" cm="1">
        <f t="array" ref="J1316">SUMPRODUCT(("T_B_u-BEVELC-S1"=[1]OUT_TransportEnergyCons!$A$3:$A$1000)*1,("Var_Fin"=[1]OUT_TransportEnergyCons!$B$3:$B$1000)*1,ISNUMBER(SEARCH("ELC",[1]OUT_TransportEnergyCons!$C$3:$C$1000))*1,[1]OUT_TransportEnergyCons!H$3:H$1000)</f>
        <v>0.21313670838045456</v>
      </c>
      <c r="K1316" s="1" cm="1">
        <f t="array" ref="K1316">SUMPRODUCT(("T_B_u-BEVELC-S1"=[1]OUT_TransportEnergyCons!$A$3:$A$1000)*1,("Var_Fin"=[1]OUT_TransportEnergyCons!$B$3:$B$1000)*1,ISNUMBER(SEARCH("ELC",[1]OUT_TransportEnergyCons!$C$3:$C$1000))*1,[1]OUT_TransportEnergyCons!I$3:I$1000)</f>
        <v>0.18910191781907881</v>
      </c>
    </row>
    <row r="1317" spans="2:16" x14ac:dyDescent="0.35">
      <c r="B1317" s="5" t="str">
        <f t="shared" si="777"/>
        <v>SPS3</v>
      </c>
      <c r="C1317" s="5" t="str">
        <f t="shared" si="790"/>
        <v>CH</v>
      </c>
      <c r="D1317" t="s">
        <v>1310</v>
      </c>
      <c r="E1317" t="s">
        <v>8</v>
      </c>
      <c r="F1317" s="1" cm="1">
        <f t="array" ref="F1317">SUMPRODUCT(("T_B_u-BEVELC-S2"=[1]OUT_TransportEnergyCons!$A$3:$A$1000)*1,("Var_Fin"=[1]OUT_TransportEnergyCons!$B$3:$B$1000)*1,ISNUMBER(SEARCH("ELC",[1]OUT_TransportEnergyCons!$C$3:$C$1000))*1,[1]OUT_TransportEnergyCons!D$3:D$1000)</f>
        <v>1.3376817179023791E-3</v>
      </c>
      <c r="G1317" s="1" cm="1">
        <f t="array" ref="G1317">SUMPRODUCT(("T_B_u-BEVELC-S2"=[1]OUT_TransportEnergyCons!$A$3:$A$1000)*1,("Var_Fin"=[1]OUT_TransportEnergyCons!$B$3:$B$1000)*1,ISNUMBER(SEARCH("ELC",[1]OUT_TransportEnergyCons!$C$3:$C$1000))*1,[1]OUT_TransportEnergyCons!E$3:E$1000)</f>
        <v>1.9894345316938981E-3</v>
      </c>
      <c r="H1317" s="1" cm="1">
        <f t="array" ref="H1317">SUMPRODUCT(("T_B_u-BEVELC-S2"=[1]OUT_TransportEnergyCons!$A$3:$A$1000)*1,("Var_Fin"=[1]OUT_TransportEnergyCons!$B$3:$B$1000)*1,ISNUMBER(SEARCH("ELC",[1]OUT_TransportEnergyCons!$C$3:$C$1000))*1,[1]OUT_TransportEnergyCons!F$3:F$1000)</f>
        <v>4.0888140611121046E-3</v>
      </c>
      <c r="I1317" s="1" cm="1">
        <f t="array" ref="I1317">SUMPRODUCT(("T_B_u-BEVELC-S2"=[1]OUT_TransportEnergyCons!$A$3:$A$1000)*1,("Var_Fin"=[1]OUT_TransportEnergyCons!$B$3:$B$1000)*1,ISNUMBER(SEARCH("ELC",[1]OUT_TransportEnergyCons!$C$3:$C$1000))*1,[1]OUT_TransportEnergyCons!G$3:G$1000)</f>
        <v>0.12226035834011653</v>
      </c>
      <c r="J1317" s="1" cm="1">
        <f t="array" ref="J1317">SUMPRODUCT(("T_B_u-BEVELC-S2"=[1]OUT_TransportEnergyCons!$A$3:$A$1000)*1,("Var_Fin"=[1]OUT_TransportEnergyCons!$B$3:$B$1000)*1,ISNUMBER(SEARCH("ELC",[1]OUT_TransportEnergyCons!$C$3:$C$1000))*1,[1]OUT_TransportEnergyCons!H$3:H$1000)</f>
        <v>0.12523353205648088</v>
      </c>
      <c r="K1317" s="1" cm="1">
        <f t="array" ref="K1317">SUMPRODUCT(("T_B_u-BEVELC-S2"=[1]OUT_TransportEnergyCons!$A$3:$A$1000)*1,("Var_Fin"=[1]OUT_TransportEnergyCons!$B$3:$B$1000)*1,ISNUMBER(SEARCH("ELC",[1]OUT_TransportEnergyCons!$C$3:$C$1000))*1,[1]OUT_TransportEnergyCons!I$3:I$1000)</f>
        <v>0.11781569072441896</v>
      </c>
    </row>
    <row r="1318" spans="2:16" x14ac:dyDescent="0.35">
      <c r="B1318" s="5" t="str">
        <f t="shared" si="777"/>
        <v>SPS3</v>
      </c>
      <c r="C1318" s="5" t="str">
        <f t="shared" si="790"/>
        <v>CH</v>
      </c>
      <c r="D1318" t="s">
        <v>1311</v>
      </c>
      <c r="E1318" t="s">
        <v>8</v>
      </c>
      <c r="F1318" s="1" cm="1">
        <f t="array" ref="F1318">SUMPRODUCT(("T_B_u-BEVELC-S3"=[1]OUT_TransportEnergyCons!$A$3:$A$1000)*1,("Var_Fin"=[1]OUT_TransportEnergyCons!$B$3:$B$1000)*1,ISNUMBER(SEARCH("ELC",[1]OUT_TransportEnergyCons!$C$3:$C$1000))*1,[1]OUT_TransportEnergyCons!D$3:D$1000)</f>
        <v>4.1385499489435896E-3</v>
      </c>
      <c r="G1318" s="1" cm="1">
        <f t="array" ref="G1318">SUMPRODUCT(("T_B_u-BEVELC-S3"=[1]OUT_TransportEnergyCons!$A$3:$A$1000)*1,("Var_Fin"=[1]OUT_TransportEnergyCons!$B$3:$B$1000)*1,ISNUMBER(SEARCH("ELC",[1]OUT_TransportEnergyCons!$C$3:$C$1000))*1,[1]OUT_TransportEnergyCons!E$3:E$1000)</f>
        <v>4.2391368750466828E-3</v>
      </c>
      <c r="H1318" s="1" cm="1">
        <f t="array" ref="H1318">SUMPRODUCT(("T_B_u-BEVELC-S3"=[1]OUT_TransportEnergyCons!$A$3:$A$1000)*1,("Var_Fin"=[1]OUT_TransportEnergyCons!$B$3:$B$1000)*1,ISNUMBER(SEARCH("ELC",[1]OUT_TransportEnergyCons!$C$3:$C$1000))*1,[1]OUT_TransportEnergyCons!F$3:F$1000)</f>
        <v>6.6630364426184079E-3</v>
      </c>
      <c r="I1318" s="1" cm="1">
        <f t="array" ref="I1318">SUMPRODUCT(("T_B_u-BEVELC-S3"=[1]OUT_TransportEnergyCons!$A$3:$A$1000)*1,("Var_Fin"=[1]OUT_TransportEnergyCons!$B$3:$B$1000)*1,ISNUMBER(SEARCH("ELC",[1]OUT_TransportEnergyCons!$C$3:$C$1000))*1,[1]OUT_TransportEnergyCons!G$3:G$1000)</f>
        <v>0.72593600523819035</v>
      </c>
      <c r="J1318" s="1" cm="1">
        <f t="array" ref="J1318">SUMPRODUCT(("T_B_u-BEVELC-S3"=[1]OUT_TransportEnergyCons!$A$3:$A$1000)*1,("Var_Fin"=[1]OUT_TransportEnergyCons!$B$3:$B$1000)*1,ISNUMBER(SEARCH("ELC",[1]OUT_TransportEnergyCons!$C$3:$C$1000))*1,[1]OUT_TransportEnergyCons!H$3:H$1000)</f>
        <v>0.8014900216072367</v>
      </c>
      <c r="K1318" s="1" cm="1">
        <f t="array" ref="K1318">SUMPRODUCT(("T_B_u-BEVELC-S3"=[1]OUT_TransportEnergyCons!$A$3:$A$1000)*1,("Var_Fin"=[1]OUT_TransportEnergyCons!$B$3:$B$1000)*1,ISNUMBER(SEARCH("ELC",[1]OUT_TransportEnergyCons!$C$3:$C$1000))*1,[1]OUT_TransportEnergyCons!I$3:I$1000)</f>
        <v>0.78525022013936241</v>
      </c>
    </row>
    <row r="1319" spans="2:16" x14ac:dyDescent="0.35">
      <c r="B1319" s="5" t="str">
        <f t="shared" si="777"/>
        <v>SPS3</v>
      </c>
      <c r="C1319" s="5" t="str">
        <f t="shared" si="790"/>
        <v>CH</v>
      </c>
      <c r="D1319" t="s">
        <v>1312</v>
      </c>
      <c r="E1319" t="s">
        <v>8</v>
      </c>
      <c r="F1319" s="1" cm="1">
        <f t="array" ref="F1319">SUMPRODUCT(("T_B_u-BEVELC-S4"=[1]OUT_TransportEnergyCons!$A$3:$A$1000)*1,("Var_Fin"=[1]OUT_TransportEnergyCons!$B$3:$B$1000)*1,ISNUMBER(SEARCH("ELC",[1]OUT_TransportEnergyCons!$C$3:$C$1000))*1,[1]OUT_TransportEnergyCons!D$3:D$1000)</f>
        <v>4.1495045979090037E-4</v>
      </c>
      <c r="G1319" s="1" cm="1">
        <f t="array" ref="G1319">SUMPRODUCT(("T_B_u-BEVELC-S4"=[1]OUT_TransportEnergyCons!$A$3:$A$1000)*1,("Var_Fin"=[1]OUT_TransportEnergyCons!$B$3:$B$1000)*1,ISNUMBER(SEARCH("ELC",[1]OUT_TransportEnergyCons!$C$3:$C$1000))*1,[1]OUT_TransportEnergyCons!E$3:E$1000)</f>
        <v>4.7379539420841277E-4</v>
      </c>
      <c r="H1319" s="1" cm="1">
        <f t="array" ref="H1319">SUMPRODUCT(("T_B_u-BEVELC-S4"=[1]OUT_TransportEnergyCons!$A$3:$A$1000)*1,("Var_Fin"=[1]OUT_TransportEnergyCons!$B$3:$B$1000)*1,ISNUMBER(SEARCH("ELC",[1]OUT_TransportEnergyCons!$C$3:$C$1000))*1,[1]OUT_TransportEnergyCons!F$3:F$1000)</f>
        <v>8.2464899564070702E-4</v>
      </c>
      <c r="I1319" s="1" cm="1">
        <f t="array" ref="I1319">SUMPRODUCT(("T_B_u-BEVELC-S4"=[1]OUT_TransportEnergyCons!$A$3:$A$1000)*1,("Var_Fin"=[1]OUT_TransportEnergyCons!$B$3:$B$1000)*1,ISNUMBER(SEARCH("ELC",[1]OUT_TransportEnergyCons!$C$3:$C$1000))*1,[1]OUT_TransportEnergyCons!G$3:G$1000)</f>
        <v>3.799857188716348E-4</v>
      </c>
      <c r="J1319" s="1" cm="1">
        <f t="array" ref="J1319">SUMPRODUCT(("T_B_u-BEVELC-S4"=[1]OUT_TransportEnergyCons!$A$3:$A$1000)*1,("Var_Fin"=[1]OUT_TransportEnergyCons!$B$3:$B$1000)*1,ISNUMBER(SEARCH("ELC",[1]OUT_TransportEnergyCons!$C$3:$C$1000))*1,[1]OUT_TransportEnergyCons!H$3:H$1000)</f>
        <v>6.3528895722755251E-5</v>
      </c>
      <c r="K1319" s="1" cm="1">
        <f t="array" ref="K1319">SUMPRODUCT(("T_B_u-BEVELC-S4"=[1]OUT_TransportEnergyCons!$A$3:$A$1000)*1,("Var_Fin"=[1]OUT_TransportEnergyCons!$B$3:$B$1000)*1,ISNUMBER(SEARCH("ELC",[1]OUT_TransportEnergyCons!$C$3:$C$1000))*1,[1]OUT_TransportEnergyCons!I$3:I$1000)</f>
        <v>3.5149180496342572E-7</v>
      </c>
    </row>
    <row r="1320" spans="2:16" x14ac:dyDescent="0.35">
      <c r="B1320" s="5" t="str">
        <f t="shared" si="777"/>
        <v>SPS3</v>
      </c>
      <c r="C1320" s="5" t="str">
        <f t="shared" si="790"/>
        <v>CH</v>
      </c>
      <c r="D1320" t="s">
        <v>1313</v>
      </c>
      <c r="E1320" t="s">
        <v>8</v>
      </c>
      <c r="F1320" s="1">
        <f>SUM(F1321:F1324)</f>
        <v>0</v>
      </c>
      <c r="G1320" s="1">
        <f t="shared" ref="G1320:K1320" si="791">SUM(G1321:G1324)</f>
        <v>0</v>
      </c>
      <c r="H1320" s="1">
        <f t="shared" si="791"/>
        <v>0</v>
      </c>
      <c r="I1320" s="1">
        <f t="shared" si="791"/>
        <v>0</v>
      </c>
      <c r="J1320" s="1">
        <f t="shared" si="791"/>
        <v>8.3838229013729563E-6</v>
      </c>
      <c r="K1320" s="1">
        <f t="shared" si="791"/>
        <v>4.7359070297951368E-6</v>
      </c>
    </row>
    <row r="1321" spans="2:16" x14ac:dyDescent="0.35">
      <c r="B1321" s="5" t="str">
        <f t="shared" si="777"/>
        <v>SPS3</v>
      </c>
      <c r="C1321" s="5" t="str">
        <f t="shared" si="790"/>
        <v>CH</v>
      </c>
      <c r="D1321" t="s">
        <v>1314</v>
      </c>
      <c r="E1321" t="s">
        <v>8</v>
      </c>
      <c r="F1321" s="1" cm="1">
        <f t="array" ref="F1321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1" s="1" cm="1">
        <f t="array" ref="G1321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1" s="1" cm="1">
        <f t="array" ref="H1321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1" s="1" cm="1">
        <f t="array" ref="I1321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1" s="1" cm="1">
        <f t="array" ref="J1321">SUMPRODUCT(("T_B_u-FCLH2O-S1"=[1]OUT_TransportEnergyCons!$A$3:$A$1000)*1,("Var_Fin"=[1]OUT_TransportEnergyCons!$B$3:$B$1000)*1,ISNUMBER(SEARCH("H2",[1]OUT_TransportEnergyCons!$C$3:$C$1000))*1,[1]OUT_TransportEnergyCons!H$3:H$1000)</f>
        <v>2.3281323279145879E-6</v>
      </c>
      <c r="K1321" s="1" cm="1">
        <f t="array" ref="K1321">SUMPRODUCT(("T_B_u-FCLH2O-S1"=[1]OUT_TransportEnergyCons!$A$3:$A$1000)*1,("Var_Fin"=[1]OUT_TransportEnergyCons!$B$3:$B$1000)*1,ISNUMBER(SEARCH("H2",[1]OUT_TransportEnergyCons!$C$3:$C$1000))*1,[1]OUT_TransportEnergyCons!I$3:I$1000)</f>
        <v>1.1540181671503223E-6</v>
      </c>
    </row>
    <row r="1322" spans="2:16" x14ac:dyDescent="0.35">
      <c r="B1322" s="5" t="str">
        <f t="shared" si="777"/>
        <v>SPS3</v>
      </c>
      <c r="C1322" s="5" t="str">
        <f t="shared" si="790"/>
        <v>CH</v>
      </c>
      <c r="D1322" t="s">
        <v>1315</v>
      </c>
      <c r="E1322" t="s">
        <v>8</v>
      </c>
      <c r="F1322" s="1" cm="1">
        <f t="array" ref="F1322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2" s="1" cm="1">
        <f t="array" ref="G1322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2" s="1" cm="1">
        <f t="array" ref="H1322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2" s="1" cm="1">
        <f t="array" ref="I1322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2" s="1" cm="1">
        <f t="array" ref="J1322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2" s="1" cm="1">
        <f t="array" ref="K1322">SUMPRODUCT(("T_B_u-FCLH2O-S2"=[1]OUT_TransportEnergyCons!$A$3:$A$1000)*1,("Var_Fin"=[1]OUT_TransportEnergyCons!$B$3:$B$1000)*1,ISNUMBER(SEARCH("H2",[1]OUT_TransportEnergyCons!$C$3:$C$1000))*1,[1]OUT_TransportEnergyCons!I$3:I$1000)</f>
        <v>0</v>
      </c>
    </row>
    <row r="1323" spans="2:16" x14ac:dyDescent="0.35">
      <c r="B1323" s="5" t="str">
        <f t="shared" si="777"/>
        <v>SPS3</v>
      </c>
      <c r="C1323" s="5" t="str">
        <f t="shared" si="790"/>
        <v>CH</v>
      </c>
      <c r="D1323" t="s">
        <v>1316</v>
      </c>
      <c r="E1323" t="s">
        <v>8</v>
      </c>
      <c r="F1323" s="1" cm="1">
        <f t="array" ref="F1323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SUMPRODUCT(("T_B_u-FCLH2O-S3"=[1]OUT_TransportEnergyCons!$A$3:$A$1000)*1,("Var_Fin"=[1]OUT_TransportEnergyCons!$B$3:$B$1000)*1,ISNUMBER(SEARCH("H2",[1]OUT_TransportEnergyCons!$C$3:$C$1000))*1,[1]OUT_TransportEnergyCons!H$3:H$1000)</f>
        <v>4.0841142032479591E-6</v>
      </c>
      <c r="K1323" s="1" cm="1">
        <f t="array" ref="K1323">SUMPRODUCT(("T_B_u-FCLH2O-S3"=[1]OUT_TransportEnergyCons!$A$3:$A$1000)*1,("Var_Fin"=[1]OUT_TransportEnergyCons!$B$3:$B$1000)*1,ISNUMBER(SEARCH("H2",[1]OUT_TransportEnergyCons!$C$3:$C$1000))*1,[1]OUT_TransportEnergyCons!I$3:I$1000)</f>
        <v>3.581888862644814E-6</v>
      </c>
    </row>
    <row r="1324" spans="2:16" x14ac:dyDescent="0.35">
      <c r="B1324" s="5" t="str">
        <f t="shared" si="777"/>
        <v>SPS3</v>
      </c>
      <c r="C1324" s="5" t="str">
        <f t="shared" si="790"/>
        <v>CH</v>
      </c>
      <c r="D1324" t="s">
        <v>1317</v>
      </c>
      <c r="E1324" t="s">
        <v>8</v>
      </c>
      <c r="F1324" s="1" cm="1">
        <f t="array" ref="F1324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SUMPRODUCT(("T_B_u-FCLH2O-S4"=[1]OUT_TransportEnergyCons!$A$3:$A$1000)*1,("Var_Fin"=[1]OUT_TransportEnergyCons!$B$3:$B$1000)*1,ISNUMBER(SEARCH("H2",[1]OUT_TransportEnergyCons!$C$3:$C$1000))*1,[1]OUT_TransportEnergyCons!H$3:H$1000)</f>
        <v>1.9715763702104089E-6</v>
      </c>
      <c r="K1324" s="1" cm="1">
        <f t="array" ref="K1324">SUMPRODUCT(("T_B_u-FCLH2O-S4"=[1]OUT_TransportEnergyCons!$A$3:$A$1000)*1,("Var_Fin"=[1]OUT_TransportEnergyCons!$B$3:$B$1000)*1,ISNUMBER(SEARCH("H2",[1]OUT_TransportEnergyCons!$C$3:$C$1000))*1,[1]OUT_TransportEnergyCons!I$3:I$1000)</f>
        <v>0</v>
      </c>
    </row>
    <row r="1325" spans="2:16" x14ac:dyDescent="0.35">
      <c r="B1325" s="5" t="str">
        <f t="shared" si="777"/>
        <v>SPS3</v>
      </c>
      <c r="C1325" s="5" t="str">
        <f t="shared" si="790"/>
        <v>CH</v>
      </c>
      <c r="D1325" t="s">
        <v>1318</v>
      </c>
      <c r="E1325" t="s">
        <v>8</v>
      </c>
      <c r="F1325" s="1">
        <f>SUM(F1330:F1338)</f>
        <v>0.75463419205689986</v>
      </c>
      <c r="G1325" s="1">
        <f t="shared" ref="G1325:K1325" si="792">SUM(G1330:G1338)</f>
        <v>1.3404995759085823</v>
      </c>
      <c r="H1325" s="1">
        <f t="shared" si="792"/>
        <v>2.2535616081772303</v>
      </c>
      <c r="I1325" s="1">
        <f t="shared" si="792"/>
        <v>0.20309338617558997</v>
      </c>
      <c r="J1325" s="1">
        <f t="shared" si="792"/>
        <v>9.6782330239792283E-2</v>
      </c>
      <c r="K1325" s="1">
        <f t="shared" si="792"/>
        <v>0.11280035594450863</v>
      </c>
    </row>
    <row r="1326" spans="2:16" x14ac:dyDescent="0.35">
      <c r="B1326" s="5" t="str">
        <f t="shared" si="777"/>
        <v>SPS3</v>
      </c>
      <c r="C1326" s="5" t="str">
        <f t="shared" si="790"/>
        <v>CH</v>
      </c>
      <c r="D1326" t="s">
        <v>1319</v>
      </c>
      <c r="E1326" t="s">
        <v>8</v>
      </c>
      <c r="F1326" s="1">
        <f>F1325-F1327</f>
        <v>0.73616958684041478</v>
      </c>
      <c r="G1326" s="1">
        <f t="shared" ref="G1326:K1326" si="793">G1325-G1327</f>
        <v>1.3055652698967177</v>
      </c>
      <c r="H1326" s="1">
        <f t="shared" si="793"/>
        <v>2.1639393794442627</v>
      </c>
      <c r="I1326" s="1">
        <f t="shared" si="793"/>
        <v>0.19654382143023766</v>
      </c>
      <c r="J1326" s="1">
        <f t="shared" si="793"/>
        <v>2.5642027506661946E-2</v>
      </c>
      <c r="K1326" s="1">
        <f t="shared" si="793"/>
        <v>-0.15746135909330675</v>
      </c>
    </row>
    <row r="1327" spans="2:16" x14ac:dyDescent="0.35">
      <c r="B1327" s="5" t="str">
        <f t="shared" si="777"/>
        <v>SPS3</v>
      </c>
      <c r="C1327" s="5" t="str">
        <f t="shared" si="790"/>
        <v>CH</v>
      </c>
      <c r="D1327" t="s">
        <v>1320</v>
      </c>
      <c r="E1327" t="s">
        <v>8</v>
      </c>
      <c r="F1327" s="1">
        <f>SUM(F1328:F1329)</f>
        <v>1.8464605216485071E-2</v>
      </c>
      <c r="G1327" s="1">
        <f t="shared" ref="G1327" si="794">SUM(G1328:G1329)</f>
        <v>3.4934306011864438E-2</v>
      </c>
      <c r="H1327" s="1">
        <f t="shared" ref="H1327" si="795">SUM(H1328:H1329)</f>
        <v>8.9622228732967421E-2</v>
      </c>
      <c r="I1327" s="1">
        <f t="shared" ref="I1327" si="796">SUM(I1328:I1329)</f>
        <v>6.5495647453523249E-3</v>
      </c>
      <c r="J1327" s="1">
        <f t="shared" ref="J1327" si="797">SUM(J1328:J1329)</f>
        <v>7.1140302733130337E-2</v>
      </c>
      <c r="K1327" s="1">
        <f t="shared" ref="K1327" si="798">SUM(K1328:K1329)</f>
        <v>0.27026171503781538</v>
      </c>
    </row>
    <row r="1328" spans="2:16" x14ac:dyDescent="0.35">
      <c r="B1328" s="5" t="str">
        <f t="shared" si="777"/>
        <v>SPS3</v>
      </c>
      <c r="C1328" s="5" t="str">
        <f t="shared" si="790"/>
        <v>CH</v>
      </c>
      <c r="D1328" t="s">
        <v>1322</v>
      </c>
      <c r="E1328" t="s">
        <v>8</v>
      </c>
      <c r="F1328" s="1">
        <f>[1]Transport!B$26/SUM([1]Transport!B$22,[1]Transport!B$26)*F1325*(F$33+F$580)/(F$33+F$580+F$36)</f>
        <v>1.8464605216485071E-2</v>
      </c>
      <c r="G1328" s="1">
        <f>[1]Transport!C$26/SUM([1]Transport!C$22,[1]Transport!C$26)*G1325*(G$33+G$580)/(G$33+G$580+G$36)</f>
        <v>3.4934306011864438E-2</v>
      </c>
      <c r="H1328" s="1">
        <f>[1]Transport!D$26/SUM([1]Transport!D$22,[1]Transport!D$26)*H1325*(H$33+H$580)/(H$33+H$580+H$36)</f>
        <v>8.9622228732967421E-2</v>
      </c>
      <c r="I1328" s="1">
        <f>[1]Transport!E$26/SUM([1]Transport!E$22,[1]Transport!E$26)*I1325*(I$33+I$580)/(I$33+I$580+I$36)</f>
        <v>6.5495647453523249E-3</v>
      </c>
      <c r="J1328" s="1">
        <f>[1]Transport!F$26/SUM([1]Transport!F$22,[1]Transport!F$26)*J1325*(J$33+J$580)/(J$33+J$580+J$36)</f>
        <v>1.1736565223066289E-3</v>
      </c>
      <c r="K1328" s="1">
        <f>[1]Transport!G$26/SUM([1]Transport!G$22,[1]Transport!G$26)*K1325*(K$33+K$580)/(K$33+K$580+K$36)</f>
        <v>4.2609201949480535E-2</v>
      </c>
    </row>
    <row r="1329" spans="2:11" x14ac:dyDescent="0.35">
      <c r="B1329" s="5" t="str">
        <f t="shared" si="777"/>
        <v>SPS3</v>
      </c>
      <c r="C1329" s="5" t="str">
        <f t="shared" si="790"/>
        <v>CH</v>
      </c>
      <c r="D1329" t="s">
        <v>1321</v>
      </c>
      <c r="E1329" t="s">
        <v>8</v>
      </c>
      <c r="F1329" s="1">
        <f>(F$36+F$716)/([1]Transport!B$22+[1]Transport!B$26)*F1325</f>
        <v>0</v>
      </c>
      <c r="G1329" s="1">
        <f>(G$36+G$716)/([1]Transport!C$22+[1]Transport!C$26)*G1325</f>
        <v>0</v>
      </c>
      <c r="H1329" s="1">
        <f>(H$36+H$716)/([1]Transport!D$22+[1]Transport!D$26)*H1325</f>
        <v>0</v>
      </c>
      <c r="I1329" s="1">
        <f>(I$36+I$716)/([1]Transport!E$22+[1]Transport!E$26)*I1325</f>
        <v>0</v>
      </c>
      <c r="J1329" s="1">
        <f>(J$36+J$716)/([1]Transport!F$22+[1]Transport!F$26)*J1325</f>
        <v>6.9966646210823713E-2</v>
      </c>
      <c r="K1329" s="1">
        <f>(K$36+K$716)/([1]Transport!G$22+[1]Transport!G$26)*K1325</f>
        <v>0.22765251308833487</v>
      </c>
    </row>
    <row r="1330" spans="2:11" x14ac:dyDescent="0.35">
      <c r="B1330" s="5" t="str">
        <f t="shared" si="777"/>
        <v>SPS3</v>
      </c>
      <c r="C1330" s="5" t="str">
        <f t="shared" si="790"/>
        <v>CH</v>
      </c>
      <c r="D1330" t="s">
        <v>1323</v>
      </c>
      <c r="E1330" t="s">
        <v>8</v>
      </c>
      <c r="F1330" s="1" cm="1">
        <f t="array" ref="F1330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0" s="1" cm="1">
        <f t="array" ref="G1330">SUMPRODUCT(("T_B_u-HYBDSL-S1"=[1]OUT_TransportEnergyCons!$A$3:$A$1000)*1,("Var_Fin"=[1]OUT_TransportEnergyCons!$B$3:$B$1000)*1,ISNUMBER(SEARCH("DSL",[1]OUT_TransportEnergyCons!$C$3:$C$1000))*1,[1]OUT_TransportEnergyCons!E$3:E$1000)</f>
        <v>3.4650717562734724E-2</v>
      </c>
      <c r="H1330" s="1" cm="1">
        <f t="array" ref="H1330">SUMPRODUCT(("T_B_u-HYBDSL-S1"=[1]OUT_TransportEnergyCons!$A$3:$A$1000)*1,("Var_Fin"=[1]OUT_TransportEnergyCons!$B$3:$B$1000)*1,ISNUMBER(SEARCH("DSL",[1]OUT_TransportEnergyCons!$C$3:$C$1000))*1,[1]OUT_TransportEnergyCons!F$3:F$1000)</f>
        <v>3.5569439084149473E-2</v>
      </c>
      <c r="I1330" s="1" cm="1">
        <f t="array" ref="I1330">SUMPRODUCT(("T_B_u-HYBDSL-S1"=[1]OUT_TransportEnergyCons!$A$3:$A$1000)*1,("Var_Fin"=[1]OUT_TransportEnergyCons!$B$3:$B$1000)*1,ISNUMBER(SEARCH("DSL",[1]OUT_TransportEnergyCons!$C$3:$C$1000))*1,[1]OUT_TransportEnergyCons!G$3:G$1000)</f>
        <v>5.2661225700120448E-4</v>
      </c>
      <c r="J1330" s="1" cm="1">
        <f t="array" ref="J1330">SUMPRODUCT(("T_B_u-HYBDSL-S1"=[1]OUT_TransportEnergyCons!$A$3:$A$1000)*1,("Var_Fin"=[1]OUT_TransportEnergyCons!$B$3:$B$1000)*1,ISNUMBER(SEARCH("DSL",[1]OUT_TransportEnergyCons!$C$3:$C$1000))*1,[1]OUT_TransportEnergyCons!H$3:H$1000)</f>
        <v>9.4935731009824609E-2</v>
      </c>
      <c r="K1330" s="1" cm="1">
        <f t="array" ref="K1330">SUMPRODUCT(("T_B_u-HYBDSL-S1"=[1]OUT_TransportEnergyCons!$A$3:$A$1000)*1,("Var_Fin"=[1]OUT_TransportEnergyCons!$B$3:$B$1000)*1,ISNUMBER(SEARCH("DSL",[1]OUT_TransportEnergyCons!$C$3:$C$1000))*1,[1]OUT_TransportEnergyCons!I$3:I$1000)</f>
        <v>0.11269770754741293</v>
      </c>
    </row>
    <row r="1331" spans="2:11" x14ac:dyDescent="0.35">
      <c r="B1331" s="5" t="str">
        <f t="shared" si="777"/>
        <v>SPS3</v>
      </c>
      <c r="C1331" s="5" t="str">
        <f t="shared" si="790"/>
        <v>CH</v>
      </c>
      <c r="D1331" t="s">
        <v>1324</v>
      </c>
      <c r="E1331" t="s">
        <v>8</v>
      </c>
      <c r="F1331" s="1" cm="1">
        <f t="array" ref="F1331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1" s="1" cm="1">
        <f t="array" ref="G1331">SUMPRODUCT(("T_B_u-HYBDSL-S2"=[1]OUT_TransportEnergyCons!$A$3:$A$1000)*1,("Var_Fin"=[1]OUT_TransportEnergyCons!$B$3:$B$1000)*1,ISNUMBER(SEARCH("DSL",[1]OUT_TransportEnergyCons!$C$3:$C$1000))*1,[1]OUT_TransportEnergyCons!E$3:E$1000)</f>
        <v>8.5827455849616188E-4</v>
      </c>
      <c r="H1331" s="1" cm="1">
        <f t="array" ref="H1331">SUMPRODUCT(("T_B_u-HYBDSL-S2"=[1]OUT_TransportEnergyCons!$A$3:$A$1000)*1,("Var_Fin"=[1]OUT_TransportEnergyCons!$B$3:$B$1000)*1,ISNUMBER(SEARCH("DSL",[1]OUT_TransportEnergyCons!$C$3:$C$1000))*1,[1]OUT_TransportEnergyCons!F$3:F$1000)</f>
        <v>1.3846886721928539E-3</v>
      </c>
      <c r="I1331" s="1" cm="1">
        <f t="array" ref="I1331">SUMPRODUCT(("T_B_u-HYBDSL-S2"=[1]OUT_TransportEnergyCons!$A$3:$A$1000)*1,("Var_Fin"=[1]OUT_TransportEnergyCons!$B$3:$B$1000)*1,ISNUMBER(SEARCH("DSL",[1]OUT_TransportEnergyCons!$C$3:$C$1000))*1,[1]OUT_TransportEnergyCons!G$3:G$1000)</f>
        <v>7.7626304413816471E-4</v>
      </c>
      <c r="J1331" s="1" cm="1">
        <f t="array" ref="J1331">SUMPRODUCT(("T_B_u-HYBDSL-S2"=[1]OUT_TransportEnergyCons!$A$3:$A$1000)*1,("Var_Fin"=[1]OUT_TransportEnergyCons!$B$3:$B$1000)*1,ISNUMBER(SEARCH("DSL",[1]OUT_TransportEnergyCons!$C$3:$C$1000))*1,[1]OUT_TransportEnergyCons!H$3:H$1000)</f>
        <v>8.632920803774652E-4</v>
      </c>
      <c r="K1331" s="1" cm="1">
        <f t="array" ref="K1331">SUMPRODUCT(("T_B_u-HYBDSL-S2"=[1]OUT_TransportEnergyCons!$A$3:$A$1000)*1,("Var_Fin"=[1]OUT_TransportEnergyCons!$B$3:$B$1000)*1,ISNUMBER(SEARCH("DSL",[1]OUT_TransportEnergyCons!$C$3:$C$1000))*1,[1]OUT_TransportEnergyCons!I$3:I$1000)</f>
        <v>8.0160883799688915E-5</v>
      </c>
    </row>
    <row r="1332" spans="2:11" x14ac:dyDescent="0.35">
      <c r="B1332" s="5" t="str">
        <f t="shared" ref="B1332:B1395" si="799">B1331</f>
        <v>SPS3</v>
      </c>
      <c r="C1332" s="5" t="str">
        <f t="shared" si="790"/>
        <v>CH</v>
      </c>
      <c r="D1332" t="s">
        <v>1325</v>
      </c>
      <c r="E1332" t="s">
        <v>8</v>
      </c>
      <c r="F1332" s="1" cm="1">
        <f t="array" ref="F1332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SUMPRODUCT(("T_B_u-HYBDSL-S3"=[1]OUT_TransportEnergyCons!$A$3:$A$1000)*1,("Var_Fin"=[1]OUT_TransportEnergyCons!$B$3:$B$1000)*1,ISNUMBER(SEARCH("DSL",[1]OUT_TransportEnergyCons!$C$3:$C$1000))*1,[1]OUT_TransportEnergyCons!E$3:E$1000)</f>
        <v>2.199346942995986E-3</v>
      </c>
      <c r="H1332" s="1" cm="1">
        <f t="array" ref="H1332">SUMPRODUCT(("T_B_u-HYBDSL-S3"=[1]OUT_TransportEnergyCons!$A$3:$A$1000)*1,("Var_Fin"=[1]OUT_TransportEnergyCons!$B$3:$B$1000)*1,ISNUMBER(SEARCH("DSL",[1]OUT_TransportEnergyCons!$C$3:$C$1000))*1,[1]OUT_TransportEnergyCons!F$3:F$1000)</f>
        <v>0.2015077004313805</v>
      </c>
      <c r="I1332" s="1" cm="1">
        <f t="array" ref="I1332">SUMPRODUCT(("T_B_u-HYBDSL-S3"=[1]OUT_TransportEnergyCons!$A$3:$A$1000)*1,("Var_Fin"=[1]OUT_TransportEnergyCons!$B$3:$B$1000)*1,ISNUMBER(SEARCH("DSL",[1]OUT_TransportEnergyCons!$C$3:$C$1000))*1,[1]OUT_TransportEnergyCons!G$3:G$1000)</f>
        <v>0.20164643807494967</v>
      </c>
      <c r="J1332" s="1" cm="1">
        <f t="array" ref="J1332">SUMPRODUCT(("T_B_u-HYBDSL-S3"=[1]OUT_TransportEnergyCons!$A$3:$A$1000)*1,("Var_Fin"=[1]OUT_TransportEnergyCons!$B$3:$B$1000)*1,ISNUMBER(SEARCH("DSL",[1]OUT_TransportEnergyCons!$C$3:$C$1000))*1,[1]OUT_TransportEnergyCons!H$3:H$1000)</f>
        <v>8.6692232349734957E-4</v>
      </c>
      <c r="K1332" s="1" cm="1">
        <f t="array" ref="K1332">SUMPRODUCT(("T_B_u-HYBDSL-S3"=[1]OUT_TransportEnergyCons!$A$3:$A$1000)*1,("Var_Fin"=[1]OUT_TransportEnergyCons!$B$3:$B$1000)*1,ISNUMBER(SEARCH("DSL",[1]OUT_TransportEnergyCons!$C$3:$C$1000))*1,[1]OUT_TransportEnergyCons!I$3:I$1000)</f>
        <v>1.1851632811371777E-5</v>
      </c>
    </row>
    <row r="1333" spans="2:11" x14ac:dyDescent="0.35">
      <c r="B1333" s="5" t="str">
        <f t="shared" si="799"/>
        <v>SPS3</v>
      </c>
      <c r="C1333" s="5" t="str">
        <f t="shared" si="790"/>
        <v>CH</v>
      </c>
      <c r="D1333" t="s">
        <v>1326</v>
      </c>
      <c r="E1333" t="s">
        <v>8</v>
      </c>
      <c r="F1333" s="1" cm="1">
        <f t="array" ref="F1333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SUMPRODUCT(("T_B_u-HYBDSL-S4"=[1]OUT_TransportEnergyCons!$A$3:$A$1000)*1,("Var_Fin"=[1]OUT_TransportEnergyCons!$B$3:$B$1000)*1,ISNUMBER(SEARCH("DSL",[1]OUT_TransportEnergyCons!$C$3:$C$1000))*1,[1]OUT_TransportEnergyCons!E$3:E$1000)</f>
        <v>7.5252579437419125E-5</v>
      </c>
      <c r="H1333" s="1" cm="1">
        <f t="array" ref="H1333">SUMPRODUCT(("T_B_u-HYBDSL-S4"=[1]OUT_TransportEnergyCons!$A$3:$A$1000)*1,("Var_Fin"=[1]OUT_TransportEnergyCons!$B$3:$B$1000)*1,ISNUMBER(SEARCH("DSL",[1]OUT_TransportEnergyCons!$C$3:$C$1000))*1,[1]OUT_TransportEnergyCons!F$3:F$1000)</f>
        <v>1.4473727880313637E-4</v>
      </c>
      <c r="I1333" s="1" cm="1">
        <f t="array" ref="I1333">SUMPRODUCT(("T_B_u-HYBDSL-S4"=[1]OUT_TransportEnergyCons!$A$3:$A$1000)*1,("Var_Fin"=[1]OUT_TransportEnergyCons!$B$3:$B$1000)*1,ISNUMBER(SEARCH("DSL",[1]OUT_TransportEnergyCons!$C$3:$C$1000))*1,[1]OUT_TransportEnergyCons!G$3:G$1000)</f>
        <v>9.9817766295381299E-5</v>
      </c>
      <c r="J1333" s="1" cm="1">
        <f t="array" ref="J1333">SUMPRODUCT(("T_B_u-HYBDSL-S4"=[1]OUT_TransportEnergyCons!$A$3:$A$1000)*1,("Var_Fin"=[1]OUT_TransportEnergyCons!$B$3:$B$1000)*1,ISNUMBER(SEARCH("DSL",[1]OUT_TransportEnergyCons!$C$3:$C$1000))*1,[1]OUT_TransportEnergyCons!H$3:H$1000)</f>
        <v>5.0735737727083599E-5</v>
      </c>
      <c r="K1333" s="1" cm="1">
        <f t="array" ref="K1333">SUMPRODUCT(("T_B_u-HYBDSL-S4"=[1]OUT_TransportEnergyCons!$A$3:$A$1000)*1,("Var_Fin"=[1]OUT_TransportEnergyCons!$B$3:$B$1000)*1,ISNUMBER(SEARCH("DSL",[1]OUT_TransportEnergyCons!$C$3:$C$1000))*1,[1]OUT_TransportEnergyCons!I$3:I$1000)</f>
        <v>0</v>
      </c>
    </row>
    <row r="1334" spans="2:11" x14ac:dyDescent="0.35">
      <c r="B1334" s="5" t="str">
        <f t="shared" si="799"/>
        <v>SPS3</v>
      </c>
      <c r="C1334" s="5" t="str">
        <f t="shared" si="790"/>
        <v>CH</v>
      </c>
      <c r="D1334" t="s">
        <v>2001</v>
      </c>
      <c r="E1334" t="s">
        <v>8</v>
      </c>
      <c r="F1334" s="1" cm="1">
        <f t="array" ref="F1334">SUMPRODUCT(("T_B_u-ICEDSLEXT"=[1]OUT_TransportEnergyCons!$A$3:$A$1000)*1,("Var_Fin"=[1]OUT_TransportEnergyCons!$B$3:$B$1000)*1,ISNUMBER(SEARCH("DSL",[1]OUT_TransportEnergyCons!$C$3:$C$1000))*1,[1]OUT_TransportEnergyCons!D$3:D$1000)</f>
        <v>1.7335014776778145E-2</v>
      </c>
      <c r="G1334" s="1" cm="1">
        <f t="array" ref="G1334">SUMPRODUCT(("T_B_u-ICEDSLEXT"=[1]OUT_TransportEnergyCons!$A$3:$A$1000)*1,("Var_Fin"=[1]OUT_TransportEnergyCons!$B$3:$B$1000)*1,ISNUMBER(SEARCH("DSL",[1]OUT_TransportEnergyCons!$C$3:$C$1000))*1,[1]OUT_TransportEnergyCons!E$3:E$1000)</f>
        <v>1.7318151009099128E-2</v>
      </c>
      <c r="H1334" s="1" cm="1">
        <f t="array" ref="H1334">SUMPRODUCT(("T_B_u-ICEDSLEXT"=[1]OUT_TransportEnergyCons!$A$3:$A$1000)*1,("Var_Fin"=[1]OUT_TransportEnergyCons!$B$3:$B$1000)*1,ISNUMBER(SEARCH("DSL",[1]OUT_TransportEnergyCons!$C$3:$C$1000))*1,[1]OUT_TransportEnergyCons!F$3:F$1000)</f>
        <v>1.7246436289890317E-2</v>
      </c>
      <c r="I1334" s="1" cm="1">
        <f t="array" ref="I1334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4" s="1" cm="1">
        <f t="array" ref="K1334">SUMPRODUCT(("T_B_u-ICEDSLEXT"=[1]OUT_TransportEnergyCons!$A$3:$A$1000)*1,("Var_Fin"=[1]OUT_TransportEnergyCons!$B$3:$B$1000)*1,ISNUMBER(SEARCH("DSL",[1]OUT_TransportEnergyCons!$C$3:$C$1000))*1,[1]OUT_TransportEnergyCons!I$3:I$1000)</f>
        <v>0</v>
      </c>
    </row>
    <row r="1335" spans="2:11" x14ac:dyDescent="0.35">
      <c r="B1335" s="5" t="str">
        <f t="shared" si="799"/>
        <v>SPS3</v>
      </c>
      <c r="C1335" s="5" t="str">
        <f t="shared" si="790"/>
        <v>CH</v>
      </c>
      <c r="D1335" t="s">
        <v>1327</v>
      </c>
      <c r="E1335" t="s">
        <v>8</v>
      </c>
      <c r="F1335" s="1" cm="1">
        <f t="array" ref="F1335">SUMPRODUCT(("T_B_u-ICEDSL-S1"=[1]OUT_TransportEnergyCons!$A$3:$A$1000)*1,("Var_Fin"=[1]OUT_TransportEnergyCons!$B$3:$B$1000)*1,ISNUMBER(SEARCH("DSL",[1]OUT_TransportEnergyCons!$C$3:$C$1000))*1,[1]OUT_TransportEnergyCons!D$3:D$1000)</f>
        <v>3.1541735873212904E-4</v>
      </c>
      <c r="G1335" s="1" cm="1">
        <f t="array" ref="G1335">SUMPRODUCT(("T_B_u-ICEDSL-S1"=[1]OUT_TransportEnergyCons!$A$3:$A$1000)*1,("Var_Fin"=[1]OUT_TransportEnergyCons!$B$3:$B$1000)*1,ISNUMBER(SEARCH("DSL",[1]OUT_TransportEnergyCons!$C$3:$C$1000))*1,[1]OUT_TransportEnergyCons!E$3:E$1000)</f>
        <v>0.22270227875047349</v>
      </c>
      <c r="H1335" s="1" cm="1">
        <f t="array" ref="H1335">SUMPRODUCT(("T_B_u-ICEDSL-S1"=[1]OUT_TransportEnergyCons!$A$3:$A$1000)*1,("Var_Fin"=[1]OUT_TransportEnergyCons!$B$3:$B$1000)*1,ISNUMBER(SEARCH("DSL",[1]OUT_TransportEnergyCons!$C$3:$C$1000))*1,[1]OUT_TransportEnergyCons!F$3:F$1000)</f>
        <v>0.42166440588312376</v>
      </c>
      <c r="I1335" s="1" cm="1">
        <f t="array" ref="I1335">SUMPRODUCT(("T_B_u-ICEDSL-S1"=[1]OUT_TransportEnergyCons!$A$3:$A$1000)*1,("Var_Fin"=[1]OUT_TransportEnergyCons!$B$3:$B$1000)*1,ISNUMBER(SEARCH("DSL",[1]OUT_TransportEnergyCons!$C$3:$C$1000))*1,[1]OUT_TransportEnergyCons!G$3:G$1000)</f>
        <v>4.4255033205545114E-5</v>
      </c>
      <c r="J1335" s="1" cm="1">
        <f t="array" ref="J1335">SUMPRODUCT(("T_B_u-ICEDSL-S1"=[1]OUT_TransportEnergyCons!$A$3:$A$1000)*1,("Var_Fin"=[1]OUT_TransportEnergyCons!$B$3:$B$1000)*1,ISNUMBER(SEARCH("DSL",[1]OUT_TransportEnergyCons!$C$3:$C$1000))*1,[1]OUT_TransportEnergyCons!H$3:H$1000)</f>
        <v>2.0265663504799944E-5</v>
      </c>
      <c r="K1335" s="1" cm="1">
        <f t="array" ref="K1335">SUMPRODUCT(("T_B_u-ICEDSL-S1"=[1]OUT_TransportEnergyCons!$A$3:$A$1000)*1,("Var_Fin"=[1]OUT_TransportEnergyCons!$B$3:$B$1000)*1,ISNUMBER(SEARCH("DSL",[1]OUT_TransportEnergyCons!$C$3:$C$1000))*1,[1]OUT_TransportEnergyCons!I$3:I$1000)</f>
        <v>1.0635880484652023E-5</v>
      </c>
    </row>
    <row r="1336" spans="2:11" x14ac:dyDescent="0.35">
      <c r="B1336" s="5" t="str">
        <f t="shared" si="799"/>
        <v>SPS3</v>
      </c>
      <c r="C1336" s="5" t="str">
        <f t="shared" si="790"/>
        <v>CH</v>
      </c>
      <c r="D1336" t="s">
        <v>1328</v>
      </c>
      <c r="E1336" t="s">
        <v>8</v>
      </c>
      <c r="F1336" s="1" cm="1">
        <f t="array" ref="F1336">SUMPRODUCT(("T_B_u-ICEDSL-S2"=[1]OUT_TransportEnergyCons!$A$3:$A$1000)*1,("Var_Fin"=[1]OUT_TransportEnergyCons!$B$3:$B$1000)*1,ISNUMBER(SEARCH("DSL",[1]OUT_TransportEnergyCons!$C$3:$C$1000))*1,[1]OUT_TransportEnergyCons!D$3:D$1000)</f>
        <v>0.10745287948664289</v>
      </c>
      <c r="G1336" s="1" cm="1">
        <f t="array" ref="G1336">SUMPRODUCT(("T_B_u-ICEDSL-S2"=[1]OUT_TransportEnergyCons!$A$3:$A$1000)*1,("Var_Fin"=[1]OUT_TransportEnergyCons!$B$3:$B$1000)*1,ISNUMBER(SEARCH("DSL",[1]OUT_TransportEnergyCons!$C$3:$C$1000))*1,[1]OUT_TransportEnergyCons!E$3:E$1000)</f>
        <v>0.13558785670978138</v>
      </c>
      <c r="H1336" s="1" cm="1">
        <f t="array" ref="H1336">SUMPRODUCT(("T_B_u-ICEDSL-S2"=[1]OUT_TransportEnergyCons!$A$3:$A$1000)*1,("Var_Fin"=[1]OUT_TransportEnergyCons!$B$3:$B$1000)*1,ISNUMBER(SEARCH("DSL",[1]OUT_TransportEnergyCons!$C$3:$C$1000))*1,[1]OUT_TransportEnergyCons!F$3:F$1000)</f>
        <v>0.23299602934145131</v>
      </c>
      <c r="I1336" s="1" cm="1">
        <f t="array" ref="I1336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SUMPRODUCT(("T_B_u-ICEDSL-S2"=[1]OUT_TransportEnergyCons!$A$3:$A$1000)*1,("Var_Fin"=[1]OUT_TransportEnergyCons!$B$3:$B$1000)*1,ISNUMBER(SEARCH("DSL",[1]OUT_TransportEnergyCons!$C$3:$C$1000))*1,[1]OUT_TransportEnergyCons!H$3:H$1000)</f>
        <v>1.0872320923069315E-5</v>
      </c>
      <c r="K1336" s="1" cm="1">
        <f t="array" ref="K1336">SUMPRODUCT(("T_B_u-ICEDSL-S2"=[1]OUT_TransportEnergyCons!$A$3:$A$1000)*1,("Var_Fin"=[1]OUT_TransportEnergyCons!$B$3:$B$1000)*1,ISNUMBER(SEARCH("DSL",[1]OUT_TransportEnergyCons!$C$3:$C$1000))*1,[1]OUT_TransportEnergyCons!I$3:I$1000)</f>
        <v>0</v>
      </c>
    </row>
    <row r="1337" spans="2:11" x14ac:dyDescent="0.35">
      <c r="B1337" s="5" t="str">
        <f t="shared" si="799"/>
        <v>SPS3</v>
      </c>
      <c r="C1337" s="5" t="str">
        <f t="shared" si="790"/>
        <v>CH</v>
      </c>
      <c r="D1337" t="s">
        <v>1329</v>
      </c>
      <c r="E1337" t="s">
        <v>8</v>
      </c>
      <c r="F1337" s="1" cm="1">
        <f t="array" ref="F1337">SUMPRODUCT(("T_B_u-ICEDSL-S3"=[1]OUT_TransportEnergyCons!$A$3:$A$1000)*1,("Var_Fin"=[1]OUT_TransportEnergyCons!$B$3:$B$1000)*1,ISNUMBER(SEARCH("DSL",[1]OUT_TransportEnergyCons!$C$3:$C$1000))*1,[1]OUT_TransportEnergyCons!D$3:D$1000)</f>
        <v>0.62372667354738576</v>
      </c>
      <c r="G1337" s="1" cm="1">
        <f t="array" ref="G1337">SUMPRODUCT(("T_B_u-ICEDSL-S3"=[1]OUT_TransportEnergyCons!$A$3:$A$1000)*1,("Var_Fin"=[1]OUT_TransportEnergyCons!$B$3:$B$1000)*1,ISNUMBER(SEARCH("DSL",[1]OUT_TransportEnergyCons!$C$3:$C$1000))*1,[1]OUT_TransportEnergyCons!E$3:E$1000)</f>
        <v>0.92630794300778108</v>
      </c>
      <c r="H1337" s="1" cm="1">
        <f t="array" ref="H1337">SUMPRODUCT(("T_B_u-ICEDSL-S3"=[1]OUT_TransportEnergyCons!$A$3:$A$1000)*1,("Var_Fin"=[1]OUT_TransportEnergyCons!$B$3:$B$1000)*1,ISNUMBER(SEARCH("DSL",[1]OUT_TransportEnergyCons!$C$3:$C$1000))*1,[1]OUT_TransportEnergyCons!F$3:F$1000)</f>
        <v>1.3419740097745561</v>
      </c>
      <c r="I1337" s="1" cm="1">
        <f t="array" ref="I1337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7" s="1" cm="1">
        <f t="array" ref="J1337">SUMPRODUCT(("T_B_u-ICEDSL-S3"=[1]OUT_TransportEnergyCons!$A$3:$A$1000)*1,("Var_Fin"=[1]OUT_TransportEnergyCons!$B$3:$B$1000)*1,ISNUMBER(SEARCH("DSL",[1]OUT_TransportEnergyCons!$C$3:$C$1000))*1,[1]OUT_TransportEnergyCons!H$3:H$1000)</f>
        <v>3.4511103937903574E-5</v>
      </c>
      <c r="K1337" s="1" cm="1">
        <f t="array" ref="K1337">SUMPRODUCT(("T_B_u-ICEDSL-S3"=[1]OUT_TransportEnergyCons!$A$3:$A$1000)*1,("Var_Fin"=[1]OUT_TransportEnergyCons!$B$3:$B$1000)*1,ISNUMBER(SEARCH("DSL",[1]OUT_TransportEnergyCons!$C$3:$C$1000))*1,[1]OUT_TransportEnergyCons!I$3:I$1000)</f>
        <v>0</v>
      </c>
    </row>
    <row r="1338" spans="2:11" x14ac:dyDescent="0.35">
      <c r="B1338" s="5" t="str">
        <f t="shared" si="799"/>
        <v>SPS3</v>
      </c>
      <c r="C1338" s="5" t="str">
        <f t="shared" si="790"/>
        <v>CH</v>
      </c>
      <c r="D1338" t="s">
        <v>1330</v>
      </c>
      <c r="E1338" t="s">
        <v>8</v>
      </c>
      <c r="F1338" s="1" cm="1">
        <f t="array" ref="F1338">SUMPRODUCT(("T_B_u-ICEDSL-S4"=[1]OUT_TransportEnergyCons!$A$3:$A$1000)*1,("Var_Fin"=[1]OUT_TransportEnergyCons!$B$3:$B$1000)*1,ISNUMBER(SEARCH("DSL",[1]OUT_TransportEnergyCons!$C$3:$C$1000))*1,[1]OUT_TransportEnergyCons!D$3:D$1000)</f>
        <v>5.8042068873609444E-3</v>
      </c>
      <c r="G1338" s="1" cm="1">
        <f t="array" ref="G1338">SUMPRODUCT(("T_B_u-ICEDSL-S4"=[1]OUT_TransportEnergyCons!$A$3:$A$1000)*1,("Var_Fin"=[1]OUT_TransportEnergyCons!$B$3:$B$1000)*1,ISNUMBER(SEARCH("DSL",[1]OUT_TransportEnergyCons!$C$3:$C$1000))*1,[1]OUT_TransportEnergyCons!E$3:E$1000)</f>
        <v>7.9975478778285931E-4</v>
      </c>
      <c r="H1338" s="1" cm="1">
        <f t="array" ref="H1338">SUMPRODUCT(("T_B_u-ICEDSL-S4"=[1]OUT_TransportEnergyCons!$A$3:$A$1000)*1,("Var_Fin"=[1]OUT_TransportEnergyCons!$B$3:$B$1000)*1,ISNUMBER(SEARCH("DSL",[1]OUT_TransportEnergyCons!$C$3:$C$1000))*1,[1]OUT_TransportEnergyCons!F$3:F$1000)</f>
        <v>1.0741614216827359E-3</v>
      </c>
      <c r="I1338" s="1" cm="1">
        <f t="array" ref="I1338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SUMPRODUCT(("T_B_u-ICEDSL-S4"=[1]OUT_TransportEnergyCons!$A$3:$A$1000)*1,("Var_Fin"=[1]OUT_TransportEnergyCons!$B$3:$B$1000)*1,ISNUMBER(SEARCH("DSL",[1]OUT_TransportEnergyCons!$C$3:$C$1000))*1,[1]OUT_TransportEnergyCons!I$3:I$1000)</f>
        <v>0</v>
      </c>
    </row>
    <row r="1339" spans="2:11" x14ac:dyDescent="0.35">
      <c r="B1339" s="5" t="str">
        <f t="shared" si="799"/>
        <v>SPS3</v>
      </c>
      <c r="C1339" s="5" t="str">
        <f t="shared" si="790"/>
        <v>CH</v>
      </c>
      <c r="D1339" t="s">
        <v>1344</v>
      </c>
      <c r="E1339" t="s">
        <v>8</v>
      </c>
      <c r="F1339" s="1">
        <f>SUM(F1344:F1348)</f>
        <v>3.1425619642003302E-4</v>
      </c>
      <c r="G1339" s="1">
        <f t="shared" ref="G1339:K1339" si="800">SUM(G1344:G1348)</f>
        <v>5.0950134996371836E-4</v>
      </c>
      <c r="H1339" s="1">
        <f t="shared" si="800"/>
        <v>2.5093112285199896E-2</v>
      </c>
      <c r="I1339" s="1">
        <f t="shared" si="800"/>
        <v>2.1670678226528632E-4</v>
      </c>
      <c r="J1339" s="1">
        <f t="shared" si="800"/>
        <v>1.6529006193640941E-4</v>
      </c>
      <c r="K1339" s="1">
        <f t="shared" si="800"/>
        <v>2.4925023652052406E-5</v>
      </c>
    </row>
    <row r="1340" spans="2:11" x14ac:dyDescent="0.35">
      <c r="B1340" s="5" t="str">
        <f t="shared" si="799"/>
        <v>SPS3</v>
      </c>
      <c r="C1340" s="5" t="str">
        <f t="shared" si="790"/>
        <v>CH</v>
      </c>
      <c r="D1340" t="s">
        <v>1345</v>
      </c>
      <c r="E1340" t="s">
        <v>8</v>
      </c>
      <c r="F1340" s="1">
        <f>F1339-F1341</f>
        <v>2.8989650532560665E-4</v>
      </c>
      <c r="G1340" s="1">
        <f t="shared" ref="G1340:K1340" si="801">G1339-G1341</f>
        <v>4.582628281006258E-4</v>
      </c>
      <c r="H1340" s="1">
        <f t="shared" si="801"/>
        <v>2.295714253898538E-2</v>
      </c>
      <c r="I1340" s="1">
        <f t="shared" si="801"/>
        <v>2.0454172507098649E-4</v>
      </c>
      <c r="J1340" s="1">
        <f t="shared" si="801"/>
        <v>-3.2219717889999798E-2</v>
      </c>
      <c r="K1340" s="1">
        <f t="shared" si="801"/>
        <v>-5.6274967149162886E-3</v>
      </c>
    </row>
    <row r="1341" spans="2:11" x14ac:dyDescent="0.35">
      <c r="B1341" s="5" t="str">
        <f t="shared" si="799"/>
        <v>SPS3</v>
      </c>
      <c r="C1341" s="5" t="str">
        <f t="shared" si="790"/>
        <v>CH</v>
      </c>
      <c r="D1341" t="s">
        <v>1346</v>
      </c>
      <c r="E1341" t="s">
        <v>8</v>
      </c>
      <c r="F1341" s="1">
        <f>SUM(F1342:F1343)</f>
        <v>2.4359691094426374E-5</v>
      </c>
      <c r="G1341" s="1">
        <f t="shared" ref="G1341" si="802">SUM(G1342:G1343)</f>
        <v>5.1238521863092582E-5</v>
      </c>
      <c r="H1341" s="1">
        <f t="shared" ref="H1341" si="803">SUM(H1342:H1343)</f>
        <v>2.1359697462145152E-3</v>
      </c>
      <c r="I1341" s="1">
        <f t="shared" ref="I1341" si="804">SUM(I1342:I1343)</f>
        <v>1.2165057194299824E-5</v>
      </c>
      <c r="J1341" s="1">
        <f t="shared" ref="J1341" si="805">SUM(J1342:J1343)</f>
        <v>3.2385007951936211E-2</v>
      </c>
      <c r="K1341" s="1">
        <f t="shared" ref="K1341" si="806">SUM(K1342:K1343)</f>
        <v>5.6524217385683414E-3</v>
      </c>
    </row>
    <row r="1342" spans="2:11" x14ac:dyDescent="0.35">
      <c r="B1342" s="5" t="str">
        <f t="shared" si="799"/>
        <v>SPS3</v>
      </c>
      <c r="C1342" s="5" t="str">
        <f t="shared" si="790"/>
        <v>CH</v>
      </c>
      <c r="D1342" t="s">
        <v>1347</v>
      </c>
      <c r="E1342" t="s">
        <v>8</v>
      </c>
      <c r="F1342" s="1">
        <f>[1]Transport!B$27/SUM([1]Transport!B$24,[1]Transport!B$27)*F1339*(F$45+F$612)/(F$45+F$612+F$47)</f>
        <v>2.4359691094426374E-5</v>
      </c>
      <c r="G1342" s="1">
        <f>[1]Transport!C$27/SUM([1]Transport!C$24,[1]Transport!C$27)*G1339*(G$45+G$612)/(G$45+G$612+G$47)</f>
        <v>5.1238521863092582E-5</v>
      </c>
      <c r="H1342" s="1">
        <f>[1]Transport!D$27/SUM([1]Transport!D$24,[1]Transport!D$27)*H1339*(H$45+H$612)/(H$45+H$612+H$47)</f>
        <v>2.1359697462145152E-3</v>
      </c>
      <c r="I1342" s="1">
        <f>[1]Transport!E$27/SUM([1]Transport!E$24,[1]Transport!E$27)*I1339*(I$45+I$612)/(I$45+I$612+I$47)</f>
        <v>1.2165057194299824E-5</v>
      </c>
      <c r="J1342" s="1">
        <f>[1]Transport!F$27/SUM([1]Transport!F$24,[1]Transport!F$27)*J1339*(J$45+J$612)/(J$45+J$612+J$47)</f>
        <v>5.1919779436432628E-5</v>
      </c>
      <c r="K1342" s="1">
        <f>[1]Transport!G$27/SUM([1]Transport!G$24,[1]Transport!G$27)*K1339*(K$45+K$612)/(K$45+K$612+K$47)</f>
        <v>1.330845305253807E-5</v>
      </c>
    </row>
    <row r="1343" spans="2:11" x14ac:dyDescent="0.35">
      <c r="B1343" s="5" t="str">
        <f t="shared" si="799"/>
        <v>SPS3</v>
      </c>
      <c r="C1343" s="5" t="str">
        <f t="shared" si="790"/>
        <v>CH</v>
      </c>
      <c r="D1343" t="s">
        <v>1348</v>
      </c>
      <c r="E1343" t="s">
        <v>8</v>
      </c>
      <c r="F1343" s="1">
        <f>(F$47+F$714)/([1]Transport!B$24+[1]Transport!B$27)*F1339</f>
        <v>0</v>
      </c>
      <c r="G1343" s="1">
        <f>(G$47+G$714)/([1]Transport!C$24+[1]Transport!C$27)*G1339</f>
        <v>0</v>
      </c>
      <c r="H1343" s="1">
        <f>(H$47+H$714)/([1]Transport!D$24+[1]Transport!D$27)*H1339</f>
        <v>0</v>
      </c>
      <c r="I1343" s="1">
        <f>(I$47+I$714)/([1]Transport!E$24+[1]Transport!E$27)*I1339</f>
        <v>0</v>
      </c>
      <c r="J1343" s="1">
        <f>(J$47+J$714)/([1]Transport!F$24+[1]Transport!F$27)*J1339</f>
        <v>3.2333088172499781E-2</v>
      </c>
      <c r="K1343" s="1">
        <f>(K$47+K$714)/([1]Transport!G$24+[1]Transport!G$27)*K1339</f>
        <v>5.6391132855158031E-3</v>
      </c>
    </row>
    <row r="1344" spans="2:11" x14ac:dyDescent="0.35">
      <c r="B1344" s="5" t="str">
        <f t="shared" si="799"/>
        <v>SPS3</v>
      </c>
      <c r="C1344" s="5" t="str">
        <f t="shared" si="790"/>
        <v>CH</v>
      </c>
      <c r="D1344" t="s">
        <v>2005</v>
      </c>
      <c r="E1344" t="s">
        <v>8</v>
      </c>
      <c r="F1344" s="1" cm="1">
        <f t="array" ref="F1344">SUMPRODUCT(("T_B_u-ICEngaEXT"=[1]OUT_TransportEnergyCons!$A$3:$A$1000)*1,("Var_Fin"=[1]OUT_TransportEnergyCons!$B$3:$B$1000)*1,ISNUMBER(SEARCH("nga",[1]OUT_TransportEnergyCons!$C$3:$C$1000))*1,[1]OUT_TransportEnergyCons!D$3:D$1000)</f>
        <v>3.1425619642003302E-4</v>
      </c>
      <c r="G1344" s="1" cm="1">
        <f t="array" ref="G1344">SUMPRODUCT(("T_B_u-ICEngaEXT"=[1]OUT_TransportEnergyCons!$A$3:$A$1000)*1,("Var_Fin"=[1]OUT_TransportEnergyCons!$B$3:$B$1000)*1,ISNUMBER(SEARCH("nga",[1]OUT_TransportEnergyCons!$C$3:$C$1000))*1,[1]OUT_TransportEnergyCons!E$3:E$1000)</f>
        <v>3.1756763114024596E-4</v>
      </c>
      <c r="H1344" s="1" cm="1">
        <f t="array" ref="H1344">SUMPRODUCT(("T_B_u-ICEngaEXT"=[1]OUT_TransportEnergyCons!$A$3:$A$1000)*1,("Var_Fin"=[1]OUT_TransportEnergyCons!$B$3:$B$1000)*1,ISNUMBER(SEARCH("nga",[1]OUT_TransportEnergyCons!$C$3:$C$1000))*1,[1]OUT_TransportEnergyCons!F$3:F$1000)</f>
        <v>3.166615849639225E-4</v>
      </c>
      <c r="I1344" s="1" cm="1">
        <f t="array" ref="I1344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4" s="1" cm="1">
        <f t="array" ref="J1344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4" s="1" cm="1">
        <f t="array" ref="K1344">SUMPRODUCT(("T_B_u-ICEngaEXT"=[1]OUT_TransportEnergyCons!$A$3:$A$1000)*1,("Var_Fin"=[1]OUT_TransportEnergyCons!$B$3:$B$1000)*1,ISNUMBER(SEARCH("nga",[1]OUT_TransportEnergyCons!$C$3:$C$1000))*1,[1]OUT_TransportEnergyCons!I$3:I$1000)</f>
        <v>0</v>
      </c>
    </row>
    <row r="1345" spans="2:11" x14ac:dyDescent="0.35">
      <c r="B1345" s="5" t="str">
        <f t="shared" si="799"/>
        <v>SPS3</v>
      </c>
      <c r="C1345" s="5" t="str">
        <f t="shared" si="790"/>
        <v>CH</v>
      </c>
      <c r="D1345" t="s">
        <v>1340</v>
      </c>
      <c r="E1345" t="s">
        <v>8</v>
      </c>
      <c r="F1345" s="1" cm="1">
        <f t="array" ref="F1345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5" s="1" cm="1">
        <f t="array" ref="G1345">SUMPRODUCT(("T_B_u-ICEnga-S1"=[1]OUT_TransportEnergyCons!$A$3:$A$1000)*1,("Var_Fin"=[1]OUT_TransportEnergyCons!$B$3:$B$1000)*1,ISNUMBER(SEARCH("nga",[1]OUT_TransportEnergyCons!$C$3:$C$1000))*1,[1]OUT_TransportEnergyCons!E$3:E$1000)</f>
        <v>1.0213352667750252E-4</v>
      </c>
      <c r="H1345" s="1" cm="1">
        <f t="array" ref="H1345">SUMPRODUCT(("T_B_u-ICEnga-S1"=[1]OUT_TransportEnergyCons!$A$3:$A$1000)*1,("Var_Fin"=[1]OUT_TransportEnergyCons!$B$3:$B$1000)*1,ISNUMBER(SEARCH("nga",[1]OUT_TransportEnergyCons!$C$3:$C$1000))*1,[1]OUT_TransportEnergyCons!F$3:F$1000)</f>
        <v>1.0615195429985293E-3</v>
      </c>
      <c r="I1345" s="1" cm="1">
        <f t="array" ref="I1345">SUMPRODUCT(("T_B_u-ICEnga-S1"=[1]OUT_TransportEnergyCons!$A$3:$A$1000)*1,("Var_Fin"=[1]OUT_TransportEnergyCons!$B$3:$B$1000)*1,ISNUMBER(SEARCH("nga",[1]OUT_TransportEnergyCons!$C$3:$C$1000))*1,[1]OUT_TransportEnergyCons!G$3:G$1000)</f>
        <v>4.0343111205454503E-5</v>
      </c>
      <c r="J1345" s="1" cm="1">
        <f t="array" ref="J1345">SUMPRODUCT(("T_B_u-ICEnga-S1"=[1]OUT_TransportEnergyCons!$A$3:$A$1000)*1,("Var_Fin"=[1]OUT_TransportEnergyCons!$B$3:$B$1000)*1,ISNUMBER(SEARCH("nga",[1]OUT_TransportEnergyCons!$C$3:$C$1000))*1,[1]OUT_TransportEnergyCons!H$3:H$1000)</f>
        <v>4.4141478802131992E-5</v>
      </c>
      <c r="K1345" s="1" cm="1">
        <f t="array" ref="K1345">SUMPRODUCT(("T_B_u-ICEnga-S1"=[1]OUT_TransportEnergyCons!$A$3:$A$1000)*1,("Var_Fin"=[1]OUT_TransportEnergyCons!$B$3:$B$1000)*1,ISNUMBER(SEARCH("nga",[1]OUT_TransportEnergyCons!$C$3:$C$1000))*1,[1]OUT_TransportEnergyCons!I$3:I$1000)</f>
        <v>2.4170643363274043E-5</v>
      </c>
    </row>
    <row r="1346" spans="2:11" x14ac:dyDescent="0.35">
      <c r="B1346" s="5" t="str">
        <f t="shared" si="799"/>
        <v>SPS3</v>
      </c>
      <c r="C1346" s="5" t="str">
        <f t="shared" si="790"/>
        <v>CH</v>
      </c>
      <c r="D1346" t="s">
        <v>1341</v>
      </c>
      <c r="E1346" t="s">
        <v>8</v>
      </c>
      <c r="F1346" s="1" cm="1">
        <f t="array" ref="F1346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6" s="1" cm="1">
        <f t="array" ref="G1346">SUMPRODUCT(("T_B_u-ICEnga-S2"=[1]OUT_TransportEnergyCons!$A$3:$A$1000)*1,("Var_Fin"=[1]OUT_TransportEnergyCons!$B$3:$B$1000)*1,ISNUMBER(SEARCH("nga",[1]OUT_TransportEnergyCons!$C$3:$C$1000))*1,[1]OUT_TransportEnergyCons!E$3:E$1000)</f>
        <v>4.515819607115915E-5</v>
      </c>
      <c r="H1346" s="1" cm="1">
        <f t="array" ref="H1346">SUMPRODUCT(("T_B_u-ICEnga-S2"=[1]OUT_TransportEnergyCons!$A$3:$A$1000)*1,("Var_Fin"=[1]OUT_TransportEnergyCons!$B$3:$B$1000)*1,ISNUMBER(SEARCH("nga",[1]OUT_TransportEnergyCons!$C$3:$C$1000))*1,[1]OUT_TransportEnergyCons!F$3:F$1000)</f>
        <v>2.2569192777149721E-3</v>
      </c>
      <c r="I1346" s="1" cm="1">
        <f t="array" ref="I1346">SUMPRODUCT(("T_B_u-ICEnga-S2"=[1]OUT_TransportEnergyCons!$A$3:$A$1000)*1,("Var_Fin"=[1]OUT_TransportEnergyCons!$B$3:$B$1000)*1,ISNUMBER(SEARCH("nga",[1]OUT_TransportEnergyCons!$C$3:$C$1000))*1,[1]OUT_TransportEnergyCons!G$3:G$1000)</f>
        <v>3.5349048869689636E-5</v>
      </c>
      <c r="J1346" s="1" cm="1">
        <f t="array" ref="J1346">SUMPRODUCT(("T_B_u-ICEnga-S2"=[1]OUT_TransportEnergyCons!$A$3:$A$1000)*1,("Var_Fin"=[1]OUT_TransportEnergyCons!$B$3:$B$1000)*1,ISNUMBER(SEARCH("nga",[1]OUT_TransportEnergyCons!$C$3:$C$1000))*1,[1]OUT_TransportEnergyCons!H$3:H$1000)</f>
        <v>3.1611556474527143E-5</v>
      </c>
      <c r="K1346" s="1" cm="1">
        <f t="array" ref="K1346">SUMPRODUCT(("T_B_u-ICEnga-S2"=[1]OUT_TransportEnergyCons!$A$3:$A$1000)*1,("Var_Fin"=[1]OUT_TransportEnergyCons!$B$3:$B$1000)*1,ISNUMBER(SEARCH("nga",[1]OUT_TransportEnergyCons!$C$3:$C$1000))*1,[1]OUT_TransportEnergyCons!I$3:I$1000)</f>
        <v>7.5438028877836229E-7</v>
      </c>
    </row>
    <row r="1347" spans="2:11" x14ac:dyDescent="0.35">
      <c r="B1347" s="5" t="str">
        <f t="shared" si="799"/>
        <v>SPS3</v>
      </c>
      <c r="C1347" s="5" t="str">
        <f t="shared" si="790"/>
        <v>CH</v>
      </c>
      <c r="D1347" t="s">
        <v>1342</v>
      </c>
      <c r="E1347" t="s">
        <v>8</v>
      </c>
      <c r="F1347" s="1" cm="1">
        <f t="array" ref="F1347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SUMPRODUCT(("T_B_u-ICEnga-S3"=[1]OUT_TransportEnergyCons!$A$3:$A$1000)*1,("Var_Fin"=[1]OUT_TransportEnergyCons!$B$3:$B$1000)*1,ISNUMBER(SEARCH("nga",[1]OUT_TransportEnergyCons!$C$3:$C$1000))*1,[1]OUT_TransportEnergyCons!E$3:E$1000)</f>
        <v>4.4641996074810776E-5</v>
      </c>
      <c r="H1347" s="1" cm="1">
        <f t="array" ref="H1347">SUMPRODUCT(("T_B_u-ICEnga-S3"=[1]OUT_TransportEnergyCons!$A$3:$A$1000)*1,("Var_Fin"=[1]OUT_TransportEnergyCons!$B$3:$B$1000)*1,ISNUMBER(SEARCH("nga",[1]OUT_TransportEnergyCons!$C$3:$C$1000))*1,[1]OUT_TransportEnergyCons!F$3:F$1000)</f>
        <v>2.1339633191152872E-2</v>
      </c>
      <c r="I1347" s="1" cm="1">
        <f t="array" ref="I1347">SUMPRODUCT(("T_B_u-ICEnga-S3"=[1]OUT_TransportEnergyCons!$A$3:$A$1000)*1,("Var_Fin"=[1]OUT_TransportEnergyCons!$B$3:$B$1000)*1,ISNUMBER(SEARCH("nga",[1]OUT_TransportEnergyCons!$C$3:$C$1000))*1,[1]OUT_TransportEnergyCons!G$3:G$1000)</f>
        <v>1.3882819963676208E-4</v>
      </c>
      <c r="J1347" s="1" cm="1">
        <f t="array" ref="J1347">SUMPRODUCT(("T_B_u-ICEnga-S3"=[1]OUT_TransportEnergyCons!$A$3:$A$1000)*1,("Var_Fin"=[1]OUT_TransportEnergyCons!$B$3:$B$1000)*1,ISNUMBER(SEARCH("nga",[1]OUT_TransportEnergyCons!$C$3:$C$1000))*1,[1]OUT_TransportEnergyCons!H$3:H$1000)</f>
        <v>5.749958283638543E-5</v>
      </c>
      <c r="K1347" s="1" cm="1">
        <f t="array" ref="K1347">SUMPRODUCT(("T_B_u-ICEnga-S3"=[1]OUT_TransportEnergyCons!$A$3:$A$1000)*1,("Var_Fin"=[1]OUT_TransportEnergyCons!$B$3:$B$1000)*1,ISNUMBER(SEARCH("nga",[1]OUT_TransportEnergyCons!$C$3:$C$1000))*1,[1]OUT_TransportEnergyCons!I$3:I$1000)</f>
        <v>0</v>
      </c>
    </row>
    <row r="1348" spans="2:11" x14ac:dyDescent="0.35">
      <c r="B1348" s="5" t="str">
        <f t="shared" si="799"/>
        <v>SPS3</v>
      </c>
      <c r="C1348" s="5" t="str">
        <f t="shared" si="790"/>
        <v>CH</v>
      </c>
      <c r="D1348" t="s">
        <v>1343</v>
      </c>
      <c r="E1348" t="s">
        <v>8</v>
      </c>
      <c r="F1348" s="1" cm="1">
        <f t="array" ref="F1348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48" s="1" cm="1">
        <f t="array" ref="H1348">SUMPRODUCT(("T_B_u-ICEnga-S4"=[1]OUT_TransportEnergyCons!$A$3:$A$1000)*1,("Var_Fin"=[1]OUT_TransportEnergyCons!$B$3:$B$1000)*1,ISNUMBER(SEARCH("nga",[1]OUT_TransportEnergyCons!$C$3:$C$1000))*1,[1]OUT_TransportEnergyCons!F$3:F$1000)</f>
        <v>1.1837868836959895E-4</v>
      </c>
      <c r="I1348" s="1" cm="1">
        <f t="array" ref="I1348">SUMPRODUCT(("T_B_u-ICEnga-S4"=[1]OUT_TransportEnergyCons!$A$3:$A$1000)*1,("Var_Fin"=[1]OUT_TransportEnergyCons!$B$3:$B$1000)*1,ISNUMBER(SEARCH("nga",[1]OUT_TransportEnergyCons!$C$3:$C$1000))*1,[1]OUT_TransportEnergyCons!G$3:G$1000)</f>
        <v>2.1864225533800924E-6</v>
      </c>
      <c r="J1348" s="1" cm="1">
        <f t="array" ref="J1348">SUMPRODUCT(("T_B_u-ICEnga-S4"=[1]OUT_TransportEnergyCons!$A$3:$A$1000)*1,("Var_Fin"=[1]OUT_TransportEnergyCons!$B$3:$B$1000)*1,ISNUMBER(SEARCH("nga",[1]OUT_TransportEnergyCons!$C$3:$C$1000))*1,[1]OUT_TransportEnergyCons!H$3:H$1000)</f>
        <v>3.2037443823364845E-5</v>
      </c>
      <c r="K1348" s="1" cm="1">
        <f t="array" ref="K1348">SUMPRODUCT(("T_B_u-ICEnga-S4"=[1]OUT_TransportEnergyCons!$A$3:$A$1000)*1,("Var_Fin"=[1]OUT_TransportEnergyCons!$B$3:$B$1000)*1,ISNUMBER(SEARCH("nga",[1]OUT_TransportEnergyCons!$C$3:$C$1000))*1,[1]OUT_TransportEnergyCons!I$3:I$1000)</f>
        <v>0</v>
      </c>
    </row>
    <row r="1349" spans="2:11" x14ac:dyDescent="0.35">
      <c r="B1349" s="5" t="str">
        <f t="shared" si="799"/>
        <v>SPS3</v>
      </c>
      <c r="C1349" s="5" t="str">
        <f>C1348</f>
        <v>CH</v>
      </c>
      <c r="D1349" s="2" t="s">
        <v>1349</v>
      </c>
      <c r="E1349" s="2" t="s">
        <v>1132</v>
      </c>
      <c r="F1349" s="3">
        <f>SUM(F1350:F1372)</f>
        <v>0.29549540075080288</v>
      </c>
      <c r="G1349" s="3">
        <f t="shared" ref="G1349:K1349" si="807">SUM(G1350:G1372)</f>
        <v>0.30121094062430293</v>
      </c>
      <c r="H1349" s="3">
        <f t="shared" si="807"/>
        <v>0.3091588909955118</v>
      </c>
      <c r="I1349" s="3">
        <f t="shared" si="807"/>
        <v>0.32282254865480425</v>
      </c>
      <c r="J1349" s="3">
        <f t="shared" si="807"/>
        <v>0.35123300217138942</v>
      </c>
      <c r="K1349" s="3">
        <f t="shared" si="807"/>
        <v>0.3757031047427663</v>
      </c>
    </row>
    <row r="1350" spans="2:11" x14ac:dyDescent="0.35">
      <c r="B1350" s="5" t="str">
        <f t="shared" si="799"/>
        <v>SPS3</v>
      </c>
      <c r="C1350" s="5" t="str">
        <f>C1349</f>
        <v>CH</v>
      </c>
      <c r="D1350" t="s">
        <v>1350</v>
      </c>
      <c r="E1350" t="str">
        <f>E1349</f>
        <v>billion km/yr.</v>
      </c>
      <c r="F1350" s="1" cm="1">
        <f t="array" ref="F1350">SUMPRODUCT(("T_B_u-BeVELCEXT"=[1]OUT_TransportEnergyCons!$A$3:$A$1000)*1,("var_fout"=[1]OUT_TransportEnergyCons!$B$3:$B$1000)*1,ISNUMBER(SEARCH("tpbsu",[1]OUT_TransportEnergyCons!$C$3:$C$1000))*1,[1]OUT_TransportEnergyCons!D$3:D$1000)</f>
        <v>1.9757997311968651E-3</v>
      </c>
      <c r="G1350" s="1" cm="1">
        <f t="array" ref="G1350">SUMPRODUCT(("T_B_u-BeVELCEXT"=[1]OUT_TransportEnergyCons!$A$3:$A$1000)*1,("var_fout"=[1]OUT_TransportEnergyCons!$B$3:$B$1000)*1,ISNUMBER(SEARCH("tpbsu",[1]OUT_TransportEnergyCons!$C$3:$C$1000))*1,[1]OUT_TransportEnergyCons!E$3:E$1000)</f>
        <v>1.613873323609596E-3</v>
      </c>
      <c r="H1350" s="1" cm="1">
        <f t="array" ref="H1350">SUMPRODUCT(("T_B_u-BeVELCEXT"=[1]OUT_TransportEnergyCons!$A$3:$A$1000)*1,("var_fout"=[1]OUT_TransportEnergyCons!$B$3:$B$1000)*1,ISNUMBER(SEARCH("tpbsu",[1]OUT_TransportEnergyCons!$C$3:$C$1000))*1,[1]OUT_TransportEnergyCons!F$3:F$1000)</f>
        <v>1.0073674398708404E-3</v>
      </c>
      <c r="I1350" s="1" cm="1">
        <f t="array" ref="I1350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0" s="1" cm="1">
        <f t="array" ref="J1350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0" s="1" cm="1">
        <f t="array" ref="K1350">SUMPRODUCT(("T_B_u-BeVELCEXT"=[1]OUT_TransportEnergyCons!$A$3:$A$1000)*1,("var_fout"=[1]OUT_TransportEnergyCons!$B$3:$B$1000)*1,ISNUMBER(SEARCH("tpbsu",[1]OUT_TransportEnergyCons!$C$3:$C$1000))*1,[1]OUT_TransportEnergyCons!I$3:I$1000)</f>
        <v>0</v>
      </c>
    </row>
    <row r="1351" spans="2:11" x14ac:dyDescent="0.35">
      <c r="B1351" s="5" t="str">
        <f t="shared" si="799"/>
        <v>SPS3</v>
      </c>
      <c r="C1351" s="5" t="str">
        <f t="shared" ref="C1351:C1372" si="808">C1350</f>
        <v>CH</v>
      </c>
      <c r="D1351" t="s">
        <v>1351</v>
      </c>
      <c r="E1351" t="str">
        <f t="shared" ref="E1351:E1372" si="809">E1350</f>
        <v>billion km/yr.</v>
      </c>
      <c r="F1351" s="1" cm="1">
        <f t="array" ref="F1351">SUMPRODUCT(("T_B_u-BEVELC-S1"=[1]OUT_TransportEnergyCons!$A$3:$A$1000)*1,("var_fout"=[1]OUT_TransportEnergyCons!$B$3:$B$1000)*1,ISNUMBER(SEARCH("tpbsu",[1]OUT_TransportEnergyCons!$C$3:$C$1000))*1,[1]OUT_TransportEnergyCons!D$3:D$1000)</f>
        <v>9.3036858239251804E-8</v>
      </c>
      <c r="G1351" s="1" cm="1">
        <f t="array" ref="G1351">SUMPRODUCT(("T_B_u-BEVELC-S1"=[1]OUT_TransportEnergyCons!$A$3:$A$1000)*1,("var_fout"=[1]OUT_TransportEnergyCons!$B$3:$B$1000)*1,ISNUMBER(SEARCH("tpbsu",[1]OUT_TransportEnergyCons!$C$3:$C$1000))*1,[1]OUT_TransportEnergyCons!E$3:E$1000)</f>
        <v>4.4728522508461551E-4</v>
      </c>
      <c r="H1351" s="1" cm="1">
        <f t="array" ref="H1351">SUMPRODUCT(("T_B_u-BEVELC-S1"=[1]OUT_TransportEnergyCons!$A$3:$A$1000)*1,("var_fout"=[1]OUT_TransportEnergyCons!$B$3:$B$1000)*1,ISNUMBER(SEARCH("tpbsu",[1]OUT_TransportEnergyCons!$C$3:$C$1000))*1,[1]OUT_TransportEnergyCons!F$3:F$1000)</f>
        <v>1.2643626987429394E-3</v>
      </c>
      <c r="I1351" s="1" cm="1">
        <f t="array" ref="I1351">SUMPRODUCT(("T_B_u-BEVELC-S1"=[1]OUT_TransportEnergyCons!$A$3:$A$1000)*1,("var_fout"=[1]OUT_TransportEnergyCons!$B$3:$B$1000)*1,ISNUMBER(SEARCH("tpbsu",[1]OUT_TransportEnergyCons!$C$3:$C$1000))*1,[1]OUT_TransportEnergyCons!G$3:G$1000)</f>
        <v>0.10970829526648146</v>
      </c>
      <c r="J1351" s="1" cm="1">
        <f t="array" ref="J1351">SUMPRODUCT(("T_B_u-BEVELC-S1"=[1]OUT_TransportEnergyCons!$A$3:$A$1000)*1,("var_fout"=[1]OUT_TransportEnergyCons!$B$3:$B$1000)*1,ISNUMBER(SEARCH("tpbsu",[1]OUT_TransportEnergyCons!$C$3:$C$1000))*1,[1]OUT_TransportEnergyCons!H$3:H$1000)</f>
        <v>0.10090496516057548</v>
      </c>
      <c r="K1351" s="1" cm="1">
        <f t="array" ref="K1351">SUMPRODUCT(("T_B_u-BEVELC-S1"=[1]OUT_TransportEnergyCons!$A$3:$A$1000)*1,("var_fout"=[1]OUT_TransportEnergyCons!$B$3:$B$1000)*1,ISNUMBER(SEARCH("tpbsu",[1]OUT_TransportEnergyCons!$C$3:$C$1000))*1,[1]OUT_TransportEnergyCons!I$3:I$1000)</f>
        <v>0.10252378152805623</v>
      </c>
    </row>
    <row r="1352" spans="2:11" x14ac:dyDescent="0.35">
      <c r="B1352" s="5" t="str">
        <f t="shared" si="799"/>
        <v>SPS3</v>
      </c>
      <c r="C1352" s="5" t="str">
        <f t="shared" si="808"/>
        <v>CH</v>
      </c>
      <c r="D1352" t="s">
        <v>1352</v>
      </c>
      <c r="E1352" t="str">
        <f t="shared" si="809"/>
        <v>billion km/yr.</v>
      </c>
      <c r="F1352" s="1" cm="1">
        <f t="array" ref="F1352">SUMPRODUCT(("T_B_u-BEVELC-S2"=[1]OUT_TransportEnergyCons!$A$3:$A$1000)*1,("var_fout"=[1]OUT_TransportEnergyCons!$B$3:$B$1000)*1,ISNUMBER(SEARCH("tpbsu",[1]OUT_TransportEnergyCons!$C$3:$C$1000))*1,[1]OUT_TransportEnergyCons!D$3:D$1000)</f>
        <v>3.6810419815104463E-4</v>
      </c>
      <c r="G1352" s="1" cm="1">
        <f t="array" ref="G1352">SUMPRODUCT(("T_B_u-BEVELC-S2"=[1]OUT_TransportEnergyCons!$A$3:$A$1000)*1,("var_fout"=[1]OUT_TransportEnergyCons!$B$3:$B$1000)*1,ISNUMBER(SEARCH("tpbsu",[1]OUT_TransportEnergyCons!$C$3:$C$1000))*1,[1]OUT_TransportEnergyCons!E$3:E$1000)</f>
        <v>5.5431315890486048E-4</v>
      </c>
      <c r="H1352" s="1" cm="1">
        <f t="array" ref="H1352">SUMPRODUCT(("T_B_u-BEVELC-S2"=[1]OUT_TransportEnergyCons!$A$3:$A$1000)*1,("var_fout"=[1]OUT_TransportEnergyCons!$B$3:$B$1000)*1,ISNUMBER(SEARCH("tpbsu",[1]OUT_TransportEnergyCons!$C$3:$C$1000))*1,[1]OUT_TransportEnergyCons!F$3:F$1000)</f>
        <v>1.180449688828068E-3</v>
      </c>
      <c r="I1352" s="1" cm="1">
        <f t="array" ref="I1352">SUMPRODUCT(("T_B_u-BEVELC-S2"=[1]OUT_TransportEnergyCons!$A$3:$A$1000)*1,("var_fout"=[1]OUT_TransportEnergyCons!$B$3:$B$1000)*1,ISNUMBER(SEARCH("tpbsu",[1]OUT_TransportEnergyCons!$C$3:$C$1000))*1,[1]OUT_TransportEnergyCons!G$3:G$1000)</f>
        <v>3.9554304090850777E-2</v>
      </c>
      <c r="J1352" s="1" cm="1">
        <f t="array" ref="J1352">SUMPRODUCT(("T_B_u-BEVELC-S2"=[1]OUT_TransportEnergyCons!$A$3:$A$1000)*1,("var_fout"=[1]OUT_TransportEnergyCons!$B$3:$B$1000)*1,ISNUMBER(SEARCH("tpbsu",[1]OUT_TransportEnergyCons!$C$3:$C$1000))*1,[1]OUT_TransportEnergyCons!H$3:H$1000)</f>
        <v>4.3014147937493023E-2</v>
      </c>
      <c r="K1352" s="1" cm="1">
        <f t="array" ref="K1352">SUMPRODUCT(("T_B_u-BEVELC-S2"=[1]OUT_TransportEnergyCons!$A$3:$A$1000)*1,("var_fout"=[1]OUT_TransportEnergyCons!$B$3:$B$1000)*1,ISNUMBER(SEARCH("tpbsu",[1]OUT_TransportEnergyCons!$C$3:$C$1000))*1,[1]OUT_TransportEnergyCons!I$3:I$1000)</f>
        <v>4.6133948996151627E-2</v>
      </c>
    </row>
    <row r="1353" spans="2:11" x14ac:dyDescent="0.35">
      <c r="B1353" s="5" t="str">
        <f t="shared" si="799"/>
        <v>SPS3</v>
      </c>
      <c r="C1353" s="5" t="str">
        <f t="shared" si="808"/>
        <v>CH</v>
      </c>
      <c r="D1353" t="s">
        <v>1353</v>
      </c>
      <c r="E1353" t="str">
        <f t="shared" si="809"/>
        <v>billion km/yr.</v>
      </c>
      <c r="F1353" s="1" cm="1">
        <f t="array" ref="F1353">SUMPRODUCT(("T_B_u-BEVELC-S3"=[1]OUT_TransportEnergyCons!$A$3:$A$1000)*1,("var_fout"=[1]OUT_TransportEnergyCons!$B$3:$B$1000)*1,ISNUMBER(SEARCH("tpbsu",[1]OUT_TransportEnergyCons!$C$3:$C$1000))*1,[1]OUT_TransportEnergyCons!D$3:D$1000)</f>
        <v>7.5723216910425538E-4</v>
      </c>
      <c r="G1353" s="1" cm="1">
        <f t="array" ref="G1353">SUMPRODUCT(("T_B_u-BEVELC-S3"=[1]OUT_TransportEnergyCons!$A$3:$A$1000)*1,("var_fout"=[1]OUT_TransportEnergyCons!$B$3:$B$1000)*1,ISNUMBER(SEARCH("tpbsu",[1]OUT_TransportEnergyCons!$C$3:$C$1000))*1,[1]OUT_TransportEnergyCons!E$3:E$1000)</f>
        <v>7.8591579983568573E-4</v>
      </c>
      <c r="H1353" s="1" cm="1">
        <f t="array" ref="H1353">SUMPRODUCT(("T_B_u-BEVELC-S3"=[1]OUT_TransportEnergyCons!$A$3:$A$1000)*1,("var_fout"=[1]OUT_TransportEnergyCons!$B$3:$B$1000)*1,ISNUMBER(SEARCH("tpbsu",[1]OUT_TransportEnergyCons!$C$3:$C$1000))*1,[1]OUT_TransportEnergyCons!F$3:F$1000)</f>
        <v>1.262935116177105E-3</v>
      </c>
      <c r="I1353" s="1" cm="1">
        <f t="array" ref="I1353">SUMPRODUCT(("T_B_u-BEVELC-S3"=[1]OUT_TransportEnergyCons!$A$3:$A$1000)*1,("var_fout"=[1]OUT_TransportEnergyCons!$B$3:$B$1000)*1,ISNUMBER(SEARCH("tpbsu",[1]OUT_TransportEnergyCons!$C$3:$C$1000))*1,[1]OUT_TransportEnergyCons!G$3:G$1000)</f>
        <v>0.15671292030498157</v>
      </c>
      <c r="J1353" s="1" cm="1">
        <f t="array" ref="J1353">SUMPRODUCT(("T_B_u-BEVELC-S3"=[1]OUT_TransportEnergyCons!$A$3:$A$1000)*1,("var_fout"=[1]OUT_TransportEnergyCons!$B$3:$B$1000)*1,ISNUMBER(SEARCH("tpbsu",[1]OUT_TransportEnergyCons!$C$3:$C$1000))*1,[1]OUT_TransportEnergyCons!H$3:H$1000)</f>
        <v>0.1884574019957253</v>
      </c>
      <c r="K1353" s="1" cm="1">
        <f t="array" ref="K1353">SUMPRODUCT(("T_B_u-BEVELC-S3"=[1]OUT_TransportEnergyCons!$A$3:$A$1000)*1,("var_fout"=[1]OUT_TransportEnergyCons!$B$3:$B$1000)*1,ISNUMBER(SEARCH("tpbsu",[1]OUT_TransportEnergyCons!$C$3:$C$1000))*1,[1]OUT_TransportEnergyCons!I$3:I$1000)</f>
        <v>0.20168298177478439</v>
      </c>
    </row>
    <row r="1354" spans="2:11" x14ac:dyDescent="0.35">
      <c r="B1354" s="5" t="str">
        <f t="shared" si="799"/>
        <v>SPS3</v>
      </c>
      <c r="C1354" s="5" t="str">
        <f t="shared" si="808"/>
        <v>CH</v>
      </c>
      <c r="D1354" t="s">
        <v>1354</v>
      </c>
      <c r="E1354" t="str">
        <f t="shared" si="809"/>
        <v>billion km/yr.</v>
      </c>
      <c r="F1354" s="1" cm="1">
        <f t="array" ref="F1354">SUMPRODUCT(("T_B_u-BEVELC-S4"=[1]OUT_TransportEnergyCons!$A$3:$A$1000)*1,("var_fout"=[1]OUT_TransportEnergyCons!$B$3:$B$1000)*1,ISNUMBER(SEARCH("tpbsu",[1]OUT_TransportEnergyCons!$C$3:$C$1000))*1,[1]OUT_TransportEnergyCons!D$3:D$1000)</f>
        <v>5.0618605913337891E-5</v>
      </c>
      <c r="G1354" s="1" cm="1">
        <f t="array" ref="G1354">SUMPRODUCT(("T_B_u-BEVELC-S4"=[1]OUT_TransportEnergyCons!$A$3:$A$1000)*1,("var_fout"=[1]OUT_TransportEnergyCons!$B$3:$B$1000)*1,ISNUMBER(SEARCH("tpbsu",[1]OUT_TransportEnergyCons!$C$3:$C$1000))*1,[1]OUT_TransportEnergyCons!E$3:E$1000)</f>
        <v>5.877959209150337E-5</v>
      </c>
      <c r="H1354" s="1" cm="1">
        <f t="array" ref="H1354">SUMPRODUCT(("T_B_u-BEVELC-S4"=[1]OUT_TransportEnergyCons!$A$3:$A$1000)*1,("var_fout"=[1]OUT_TransportEnergyCons!$B$3:$B$1000)*1,ISNUMBER(SEARCH("tpbsu",[1]OUT_TransportEnergyCons!$C$3:$C$1000))*1,[1]OUT_TransportEnergyCons!F$3:F$1000)</f>
        <v>1.0473411033773965E-4</v>
      </c>
      <c r="I1354" s="1" cm="1">
        <f t="array" ref="I1354">SUMPRODUCT(("T_B_u-BEVELC-S4"=[1]OUT_TransportEnergyCons!$A$3:$A$1000)*1,("var_fout"=[1]OUT_TransportEnergyCons!$B$3:$B$1000)*1,ISNUMBER(SEARCH("tpbsu",[1]OUT_TransportEnergyCons!$C$3:$C$1000))*1,[1]OUT_TransportEnergyCons!G$3:G$1000)</f>
        <v>5.1933222083528283E-5</v>
      </c>
      <c r="J1354" s="1" cm="1">
        <f t="array" ref="J1354">SUMPRODUCT(("T_B_u-BEVELC-S4"=[1]OUT_TransportEnergyCons!$A$3:$A$1000)*1,("var_fout"=[1]OUT_TransportEnergyCons!$B$3:$B$1000)*1,ISNUMBER(SEARCH("tpbsu",[1]OUT_TransportEnergyCons!$C$3:$C$1000))*1,[1]OUT_TransportEnergyCons!H$3:H$1000)</f>
        <v>9.9329834330326209E-6</v>
      </c>
      <c r="K1354" s="1" cm="1">
        <f t="array" ref="K1354">SUMPRODUCT(("T_B_u-BEVELC-S4"=[1]OUT_TransportEnergyCons!$A$3:$A$1000)*1,("var_fout"=[1]OUT_TransportEnergyCons!$B$3:$B$1000)*1,ISNUMBER(SEARCH("tpbsu",[1]OUT_TransportEnergyCons!$C$3:$C$1000))*1,[1]OUT_TransportEnergyCons!I$3:I$1000)</f>
        <v>6.1678427242860299E-8</v>
      </c>
    </row>
    <row r="1355" spans="2:11" x14ac:dyDescent="0.35">
      <c r="B1355" s="5" t="str">
        <f t="shared" si="799"/>
        <v>SPS3</v>
      </c>
      <c r="C1355" s="5" t="str">
        <f t="shared" si="808"/>
        <v>CH</v>
      </c>
      <c r="D1355" t="s">
        <v>1355</v>
      </c>
      <c r="E1355" t="str">
        <f t="shared" si="809"/>
        <v>billion km/yr.</v>
      </c>
      <c r="F1355" s="1" cm="1">
        <f t="array" ref="F1355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5" s="1" cm="1">
        <f t="array" ref="G1355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5" s="1" cm="1">
        <f t="array" ref="H1355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5" s="1" cm="1">
        <f t="array" ref="I1355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5" s="1" cm="1">
        <f t="array" ref="J1355">SUMPRODUCT(("T_B_u-FCLH2O-S1"=[1]OUT_TransportEnergyCons!$A$3:$A$1000)*1,("var_fout"=[1]OUT_TransportEnergyCons!$B$3:$B$1000)*1,ISNUMBER(SEARCH("tpbsu",[1]OUT_TransportEnergyCons!$C$3:$C$1000))*1,[1]OUT_TransportEnergyCons!H$3:H$1000)</f>
        <v>6.1592830992811527E-7</v>
      </c>
      <c r="K1355" s="1" cm="1">
        <f t="array" ref="K1355">SUMPRODUCT(("T_B_u-FCLH2O-S1"=[1]OUT_TransportEnergyCons!$A$3:$A$1000)*1,("var_fout"=[1]OUT_TransportEnergyCons!$B$3:$B$1000)*1,ISNUMBER(SEARCH("tpbsu",[1]OUT_TransportEnergyCons!$C$3:$C$1000))*1,[1]OUT_TransportEnergyCons!I$3:I$1000)</f>
        <v>3.4472161566774065E-7</v>
      </c>
    </row>
    <row r="1356" spans="2:11" x14ac:dyDescent="0.35">
      <c r="B1356" s="5" t="str">
        <f t="shared" si="799"/>
        <v>SPS3</v>
      </c>
      <c r="C1356" s="5" t="str">
        <f t="shared" si="808"/>
        <v>CH</v>
      </c>
      <c r="D1356" t="s">
        <v>1356</v>
      </c>
      <c r="E1356" t="str">
        <f t="shared" si="809"/>
        <v>billion km/yr.</v>
      </c>
      <c r="F1356" s="1" cm="1">
        <f t="array" ref="F1356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6" s="1" cm="1">
        <f t="array" ref="G1356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6" s="1" cm="1">
        <f t="array" ref="H1356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6" s="1" cm="1">
        <f t="array" ref="I1356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6" s="1" cm="1">
        <f t="array" ref="J1356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6" s="1" cm="1">
        <f t="array" ref="K1356">SUMPRODUCT(("T_B_u-FCLH2O-S2"=[1]OUT_TransportEnergyCons!$A$3:$A$1000)*1,("var_fout"=[1]OUT_TransportEnergyCons!$B$3:$B$1000)*1,ISNUMBER(SEARCH("tpbsu",[1]OUT_TransportEnergyCons!$C$3:$C$1000))*1,[1]OUT_TransportEnergyCons!I$3:I$1000)</f>
        <v>0</v>
      </c>
    </row>
    <row r="1357" spans="2:11" x14ac:dyDescent="0.35">
      <c r="B1357" s="5" t="str">
        <f t="shared" si="799"/>
        <v>SPS3</v>
      </c>
      <c r="C1357" s="5" t="str">
        <f t="shared" si="808"/>
        <v>CH</v>
      </c>
      <c r="D1357" t="s">
        <v>1357</v>
      </c>
      <c r="E1357" t="str">
        <f t="shared" si="809"/>
        <v>billion km/yr.</v>
      </c>
      <c r="F1357" s="1" cm="1">
        <f t="array" ref="F1357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SUMPRODUCT(("T_B_u-FCLH2O-S3"=[1]OUT_TransportEnergyCons!$A$3:$A$1000)*1,("var_fout"=[1]OUT_TransportEnergyCons!$B$3:$B$1000)*1,ISNUMBER(SEARCH("tpbsu",[1]OUT_TransportEnergyCons!$C$3:$C$1000))*1,[1]OUT_TransportEnergyCons!H$3:H$1000)</f>
        <v>5.3031864339673679E-7</v>
      </c>
      <c r="K1357" s="1" cm="1">
        <f t="array" ref="K1357">SUMPRODUCT(("T_B_u-FCLH2O-S3"=[1]OUT_TransportEnergyCons!$A$3:$A$1000)*1,("var_fout"=[1]OUT_TransportEnergyCons!$B$3:$B$1000)*1,ISNUMBER(SEARCH("tpbsu",[1]OUT_TransportEnergyCons!$C$3:$C$1000))*1,[1]OUT_TransportEnergyCons!I$3:I$1000)</f>
        <v>5.2377382380775845E-7</v>
      </c>
    </row>
    <row r="1358" spans="2:11" x14ac:dyDescent="0.35">
      <c r="B1358" s="5" t="str">
        <f t="shared" si="799"/>
        <v>SPS3</v>
      </c>
      <c r="C1358" s="5" t="str">
        <f t="shared" si="808"/>
        <v>CH</v>
      </c>
      <c r="D1358" t="s">
        <v>1358</v>
      </c>
      <c r="E1358" t="str">
        <f t="shared" si="809"/>
        <v>billion km/yr.</v>
      </c>
      <c r="F1358" s="1" cm="1">
        <f t="array" ref="F1358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SUMPRODUCT(("T_B_u-FCLH2O-S4"=[1]OUT_TransportEnergyCons!$A$3:$A$1000)*1,("var_fout"=[1]OUT_TransportEnergyCons!$B$3:$B$1000)*1,ISNUMBER(SEARCH("tpbsu",[1]OUT_TransportEnergyCons!$C$3:$C$1000))*1,[1]OUT_TransportEnergyCons!H$3:H$1000)</f>
        <v>1.7187255006674821E-7</v>
      </c>
      <c r="K1358" s="1" cm="1">
        <f t="array" ref="K1358">SUMPRODUCT(("T_B_u-FCLH2O-S4"=[1]OUT_TransportEnergyCons!$A$3:$A$1000)*1,("var_fout"=[1]OUT_TransportEnergyCons!$B$3:$B$1000)*1,ISNUMBER(SEARCH("tpbsu",[1]OUT_TransportEnergyCons!$C$3:$C$1000))*1,[1]OUT_TransportEnergyCons!I$3:I$1000)</f>
        <v>0</v>
      </c>
    </row>
    <row r="1359" spans="2:11" x14ac:dyDescent="0.35">
      <c r="B1359" s="5" t="str">
        <f t="shared" si="799"/>
        <v>SPS3</v>
      </c>
      <c r="C1359" s="5" t="str">
        <f t="shared" si="808"/>
        <v>CH</v>
      </c>
      <c r="D1359" t="s">
        <v>1359</v>
      </c>
      <c r="E1359" t="str">
        <f t="shared" si="809"/>
        <v>billion km/yr.</v>
      </c>
      <c r="F1359" s="1" cm="1">
        <f t="array" ref="F1359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SUMPRODUCT(("T_B_u-HYBDSL-S1"=[1]OUT_TransportEnergyCons!$A$3:$A$1000)*1,("var_fout"=[1]OUT_TransportEnergyCons!$B$3:$B$1000)*1,ISNUMBER(SEARCH("tpbsu",[1]OUT_TransportEnergyCons!$C$3:$C$1000))*1,[1]OUT_TransportEnergyCons!E$3:E$1000)</f>
        <v>5.6312163079930344E-3</v>
      </c>
      <c r="H1359" s="1" cm="1">
        <f t="array" ref="H1359">SUMPRODUCT(("T_B_u-HYBDSL-S1"=[1]OUT_TransportEnergyCons!$A$3:$A$1000)*1,("var_fout"=[1]OUT_TransportEnergyCons!$B$3:$B$1000)*1,ISNUMBER(SEARCH("tpbsu",[1]OUT_TransportEnergyCons!$C$3:$C$1000))*1,[1]OUT_TransportEnergyCons!F$3:F$1000)</f>
        <v>5.7883753529191359E-3</v>
      </c>
      <c r="I1359" s="1" cm="1">
        <f t="array" ref="I1359">SUMPRODUCT(("T_B_u-HYBDSL-S1"=[1]OUT_TransportEnergyCons!$A$3:$A$1000)*1,("var_fout"=[1]OUT_TransportEnergyCons!$B$3:$B$1000)*1,ISNUMBER(SEARCH("tpbsu",[1]OUT_TransportEnergyCons!$C$3:$C$1000))*1,[1]OUT_TransportEnergyCons!G$3:G$1000)</f>
        <v>9.2503413910360513E-5</v>
      </c>
      <c r="J1359" s="1" cm="1">
        <f t="array" ref="J1359">SUMPRODUCT(("T_B_u-HYBDSL-S1"=[1]OUT_TransportEnergyCons!$A$3:$A$1000)*1,("var_fout"=[1]OUT_TransportEnergyCons!$B$3:$B$1000)*1,ISNUMBER(SEARCH("tpbsu",[1]OUT_TransportEnergyCons!$C$3:$C$1000))*1,[1]OUT_TransportEnergyCons!H$3:H$1000)</f>
        <v>1.861539980220131E-2</v>
      </c>
      <c r="K1359" s="1" cm="1">
        <f t="array" ref="K1359">SUMPRODUCT(("T_B_u-HYBDSL-S1"=[1]OUT_TransportEnergyCons!$A$3:$A$1000)*1,("var_fout"=[1]OUT_TransportEnergyCons!$B$3:$B$1000)*1,ISNUMBER(SEARCH("tpbsu",[1]OUT_TransportEnergyCons!$C$3:$C$1000))*1,[1]OUT_TransportEnergyCons!I$3:I$1000)</f>
        <v>2.534235076152996E-2</v>
      </c>
    </row>
    <row r="1360" spans="2:11" x14ac:dyDescent="0.35">
      <c r="B1360" s="5" t="str">
        <f t="shared" si="799"/>
        <v>SPS3</v>
      </c>
      <c r="C1360" s="5" t="str">
        <f t="shared" si="808"/>
        <v>CH</v>
      </c>
      <c r="D1360" t="s">
        <v>1360</v>
      </c>
      <c r="E1360" t="str">
        <f t="shared" si="809"/>
        <v>billion km/yr.</v>
      </c>
      <c r="F1360" s="1" cm="1">
        <f t="array" ref="F1360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SUMPRODUCT(("T_B_u-HYBDSL-S2"=[1]OUT_TransportEnergyCons!$A$3:$A$1000)*1,("var_fout"=[1]OUT_TransportEnergyCons!$B$3:$B$1000)*1,ISNUMBER(SEARCH("tpbsu",[1]OUT_TransportEnergyCons!$C$3:$C$1000))*1,[1]OUT_TransportEnergyCons!E$3:E$1000)</f>
        <v>9.9983780078113943E-5</v>
      </c>
      <c r="H1360" s="1" cm="1">
        <f t="array" ref="H1360">SUMPRODUCT(("T_B_u-HYBDSL-S2"=[1]OUT_TransportEnergyCons!$A$3:$A$1000)*1,("var_fout"=[1]OUT_TransportEnergyCons!$B$3:$B$1000)*1,ISNUMBER(SEARCH("tpbsu",[1]OUT_TransportEnergyCons!$C$3:$C$1000))*1,[1]OUT_TransportEnergyCons!F$3:F$1000)</f>
        <v>1.6430411027461899E-4</v>
      </c>
      <c r="I1360" s="1" cm="1">
        <f t="array" ref="I1360">SUMPRODUCT(("T_B_u-HYBDSL-S2"=[1]OUT_TransportEnergyCons!$A$3:$A$1000)*1,("var_fout"=[1]OUT_TransportEnergyCons!$B$3:$B$1000)*1,ISNUMBER(SEARCH("tpbsu",[1]OUT_TransportEnergyCons!$C$3:$C$1000))*1,[1]OUT_TransportEnergyCons!G$3:G$1000)</f>
        <v>9.700492044238283E-5</v>
      </c>
      <c r="J1360" s="1" cm="1">
        <f t="array" ref="J1360">SUMPRODUCT(("T_B_u-HYBDSL-S2"=[1]OUT_TransportEnergyCons!$A$3:$A$1000)*1,("var_fout"=[1]OUT_TransportEnergyCons!$B$3:$B$1000)*1,ISNUMBER(SEARCH("tpbsu",[1]OUT_TransportEnergyCons!$C$3:$C$1000))*1,[1]OUT_TransportEnergyCons!H$3:H$1000)</f>
        <v>1.2179581951795242E-4</v>
      </c>
      <c r="K1360" s="1" cm="1">
        <f t="array" ref="K1360">SUMPRODUCT(("T_B_u-HYBDSL-S2"=[1]OUT_TransportEnergyCons!$A$3:$A$1000)*1,("var_fout"=[1]OUT_TransportEnergyCons!$B$3:$B$1000)*1,ISNUMBER(SEARCH("tpbsu",[1]OUT_TransportEnergyCons!$C$3:$C$1000))*1,[1]OUT_TransportEnergyCons!I$3:I$1000)</f>
        <v>1.1998292366930358E-5</v>
      </c>
    </row>
    <row r="1361" spans="2:11" x14ac:dyDescent="0.35">
      <c r="B1361" s="5" t="str">
        <f t="shared" si="799"/>
        <v>SPS3</v>
      </c>
      <c r="C1361" s="5" t="str">
        <f t="shared" si="808"/>
        <v>CH</v>
      </c>
      <c r="D1361" t="s">
        <v>1361</v>
      </c>
      <c r="E1361" t="str">
        <f t="shared" si="809"/>
        <v>billion km/yr.</v>
      </c>
      <c r="F1361" s="1" cm="1">
        <f t="array" ref="F1361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SUMPRODUCT(("T_B_u-HYBDSL-S3"=[1]OUT_TransportEnergyCons!$A$3:$A$1000)*1,("var_fout"=[1]OUT_TransportEnergyCons!$B$3:$B$1000)*1,ISNUMBER(SEARCH("tpbsu",[1]OUT_TransportEnergyCons!$C$3:$C$1000))*1,[1]OUT_TransportEnergyCons!E$3:E$1000)</f>
        <v>1.720677295065258E-4</v>
      </c>
      <c r="H1361" s="1" cm="1">
        <f t="array" ref="H1361">SUMPRODUCT(("T_B_u-HYBDSL-S3"=[1]OUT_TransportEnergyCons!$A$3:$A$1000)*1,("var_fout"=[1]OUT_TransportEnergyCons!$B$3:$B$1000)*1,ISNUMBER(SEARCH("tpbsu",[1]OUT_TransportEnergyCons!$C$3:$C$1000))*1,[1]OUT_TransportEnergyCons!F$3:F$1000)</f>
        <v>1.655566050241428E-2</v>
      </c>
      <c r="I1361" s="1" cm="1">
        <f t="array" ref="I1361">SUMPRODUCT(("T_B_u-HYBDSL-S3"=[1]OUT_TransportEnergyCons!$A$3:$A$1000)*1,("var_fout"=[1]OUT_TransportEnergyCons!$B$3:$B$1000)*1,ISNUMBER(SEARCH("tpbsu",[1]OUT_TransportEnergyCons!$C$3:$C$1000))*1,[1]OUT_TransportEnergyCons!G$3:G$1000)</f>
        <v>1.6577548554324435E-2</v>
      </c>
      <c r="J1361" s="1" cm="1">
        <f t="array" ref="J1361">SUMPRODUCT(("T_B_u-HYBDSL-S3"=[1]OUT_TransportEnergyCons!$A$3:$A$1000)*1,("var_fout"=[1]OUT_TransportEnergyCons!$B$3:$B$1000)*1,ISNUMBER(SEARCH("tpbsu",[1]OUT_TransportEnergyCons!$C$3:$C$1000))*1,[1]OUT_TransportEnergyCons!H$3:H$1000)</f>
        <v>8.2346964634647822E-5</v>
      </c>
      <c r="K1361" s="1" cm="1">
        <f t="array" ref="K1361">SUMPRODUCT(("T_B_u-HYBDSL-S3"=[1]OUT_TransportEnergyCons!$A$3:$A$1000)*1,("var_fout"=[1]OUT_TransportEnergyCons!$B$3:$B$1000)*1,ISNUMBER(SEARCH("tpbsu",[1]OUT_TransportEnergyCons!$C$3:$C$1000))*1,[1]OUT_TransportEnergyCons!I$3:I$1000)</f>
        <v>1.2203166158386295E-6</v>
      </c>
    </row>
    <row r="1362" spans="2:11" x14ac:dyDescent="0.35">
      <c r="B1362" s="5" t="str">
        <f t="shared" si="799"/>
        <v>SPS3</v>
      </c>
      <c r="C1362" s="5" t="str">
        <f t="shared" si="808"/>
        <v>CH</v>
      </c>
      <c r="D1362" t="s">
        <v>1362</v>
      </c>
      <c r="E1362" t="str">
        <f t="shared" si="809"/>
        <v>billion km/yr.</v>
      </c>
      <c r="F1362" s="1" cm="1">
        <f t="array" ref="F1362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SUMPRODUCT(("T_B_u-HYBDSL-S4"=[1]OUT_TransportEnergyCons!$A$3:$A$1000)*1,("var_fout"=[1]OUT_TransportEnergyCons!$B$3:$B$1000)*1,ISNUMBER(SEARCH("tpbsu",[1]OUT_TransportEnergyCons!$C$3:$C$1000))*1,[1]OUT_TransportEnergyCons!E$3:E$1000)</f>
        <v>3.9696819162827637E-6</v>
      </c>
      <c r="H1362" s="1" cm="1">
        <f t="array" ref="H1362">SUMPRODUCT(("T_B_u-HYBDSL-S4"=[1]OUT_TransportEnergyCons!$A$3:$A$1000)*1,("var_fout"=[1]OUT_TransportEnergyCons!$B$3:$B$1000)*1,ISNUMBER(SEARCH("tpbsu",[1]OUT_TransportEnergyCons!$C$3:$C$1000))*1,[1]OUT_TransportEnergyCons!F$3:F$1000)</f>
        <v>7.8023734218908577E-6</v>
      </c>
      <c r="I1362" s="1" cm="1">
        <f t="array" ref="I1362">SUMPRODUCT(("T_B_u-HYBDSL-S4"=[1]OUT_TransportEnergyCons!$A$3:$A$1000)*1,("var_fout"=[1]OUT_TransportEnergyCons!$B$3:$B$1000)*1,ISNUMBER(SEARCH("tpbsu",[1]OUT_TransportEnergyCons!$C$3:$C$1000))*1,[1]OUT_TransportEnergyCons!G$3:G$1000)</f>
        <v>5.6601031874996936E-6</v>
      </c>
      <c r="J1362" s="1" cm="1">
        <f t="array" ref="J1362">SUMPRODUCT(("T_B_u-HYBDSL-S4"=[1]OUT_TransportEnergyCons!$A$3:$A$1000)*1,("var_fout"=[1]OUT_TransportEnergyCons!$B$3:$B$1000)*1,ISNUMBER(SEARCH("tpbsu",[1]OUT_TransportEnergyCons!$C$3:$C$1000))*1,[1]OUT_TransportEnergyCons!H$3:H$1000)</f>
        <v>3.2901128666758217E-6</v>
      </c>
      <c r="K1362" s="1" cm="1">
        <f t="array" ref="K1362">SUMPRODUCT(("T_B_u-HYBDSL-S4"=[1]OUT_TransportEnergyCons!$A$3:$A$1000)*1,("var_fout"=[1]OUT_TransportEnergyCons!$B$3:$B$1000)*1,ISNUMBER(SEARCH("tpbsu",[1]OUT_TransportEnergyCons!$C$3:$C$1000))*1,[1]OUT_TransportEnergyCons!I$3:I$1000)</f>
        <v>0</v>
      </c>
    </row>
    <row r="1363" spans="2:11" x14ac:dyDescent="0.35">
      <c r="B1363" s="5" t="str">
        <f t="shared" si="799"/>
        <v>SPS3</v>
      </c>
      <c r="C1363" s="5" t="str">
        <f t="shared" si="808"/>
        <v>CH</v>
      </c>
      <c r="D1363" t="s">
        <v>2002</v>
      </c>
      <c r="E1363" t="str">
        <f t="shared" si="809"/>
        <v>billion km/yr.</v>
      </c>
      <c r="F1363" s="1" cm="1">
        <f t="array" ref="F1363">SUMPRODUCT(("T_B_u-ICEDSLEXT"=[1]OUT_TransportEnergyCons!$A$3:$A$1000)*1,("var_fout"=[1]OUT_TransportEnergyCons!$B$3:$B$1000)*1,ISNUMBER(SEARCH("tpbsu",[1]OUT_TransportEnergyCons!$C$3:$C$1000))*1,[1]OUT_TransportEnergyCons!D$3:D$1000)</f>
        <v>0.24214728660465856</v>
      </c>
      <c r="G1363" s="1" cm="1">
        <f t="array" ref="G1363">SUMPRODUCT(("T_B_u-ICEDSLEXT"=[1]OUT_TransportEnergyCons!$A$3:$A$1000)*1,("var_fout"=[1]OUT_TransportEnergyCons!$B$3:$B$1000)*1,ISNUMBER(SEARCH("tpbsu",[1]OUT_TransportEnergyCons!$C$3:$C$1000))*1,[1]OUT_TransportEnergyCons!E$3:E$1000)</f>
        <v>0.19378312263663616</v>
      </c>
      <c r="H1363" s="1" cm="1">
        <f t="array" ref="H1363">SUMPRODUCT(("T_B_u-ICEDSLEXT"=[1]OUT_TransportEnergyCons!$A$3:$A$1000)*1,("var_fout"=[1]OUT_TransportEnergyCons!$B$3:$B$1000)*1,ISNUMBER(SEARCH("tpbsu",[1]OUT_TransportEnergyCons!$C$3:$C$1000))*1,[1]OUT_TransportEnergyCons!F$3:F$1000)</f>
        <v>0.1210867166518341</v>
      </c>
      <c r="I1363" s="1" cm="1">
        <f t="array" ref="I1363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3" s="1" cm="1">
        <f t="array" ref="K1363">SUMPRODUCT(("T_B_u-ICEDSLEXT"=[1]OUT_TransportEnergyCons!$A$3:$A$1000)*1,("var_fout"=[1]OUT_TransportEnergyCons!$B$3:$B$1000)*1,ISNUMBER(SEARCH("tpbsu",[1]OUT_TransportEnergyCons!$C$3:$C$1000))*1,[1]OUT_TransportEnergyCons!I$3:I$1000)</f>
        <v>0</v>
      </c>
    </row>
    <row r="1364" spans="2:11" x14ac:dyDescent="0.35">
      <c r="B1364" s="5" t="str">
        <f t="shared" si="799"/>
        <v>SPS3</v>
      </c>
      <c r="C1364" s="5" t="str">
        <f t="shared" si="808"/>
        <v>CH</v>
      </c>
      <c r="D1364" t="s">
        <v>1363</v>
      </c>
      <c r="E1364" t="str">
        <f t="shared" si="809"/>
        <v>billion km/yr.</v>
      </c>
      <c r="F1364" s="1" cm="1">
        <f t="array" ref="F1364">SUMPRODUCT(("T_B_u-ICEDSL-S1"=[1]OUT_TransportEnergyCons!$A$3:$A$1000)*1,("var_fout"=[1]OUT_TransportEnergyCons!$B$3:$B$1000)*1,ISNUMBER(SEARCH("tpbsu",[1]OUT_TransportEnergyCons!$C$3:$C$1000))*1,[1]OUT_TransportEnergyCons!D$3:D$1000)</f>
        <v>3.9086256504710611E-5</v>
      </c>
      <c r="G1364" s="1" cm="1">
        <f t="array" ref="G1364">SUMPRODUCT(("T_B_u-ICEDSL-S1"=[1]OUT_TransportEnergyCons!$A$3:$A$1000)*1,("var_fout"=[1]OUT_TransportEnergyCons!$B$3:$B$1000)*1,ISNUMBER(SEARCH("tpbsu",[1]OUT_TransportEnergyCons!$C$3:$C$1000))*1,[1]OUT_TransportEnergyCons!E$3:E$1000)</f>
        <v>2.8619268742089036E-2</v>
      </c>
      <c r="H1364" s="1" cm="1">
        <f t="array" ref="H1364">SUMPRODUCT(("T_B_u-ICEDSL-S1"=[1]OUT_TransportEnergyCons!$A$3:$A$1000)*1,("var_fout"=[1]OUT_TransportEnergyCons!$B$3:$B$1000)*1,ISNUMBER(SEARCH("tpbsu",[1]OUT_TransportEnergyCons!$C$3:$C$1000))*1,[1]OUT_TransportEnergyCons!F$3:F$1000)</f>
        <v>5.5560757309072881E-2</v>
      </c>
      <c r="I1364" s="1" cm="1">
        <f t="array" ref="I1364">SUMPRODUCT(("T_B_u-ICEDSL-S1"=[1]OUT_TransportEnergyCons!$A$3:$A$1000)*1,("var_fout"=[1]OUT_TransportEnergyCons!$B$3:$B$1000)*1,ISNUMBER(SEARCH("tpbsu",[1]OUT_TransportEnergyCons!$C$3:$C$1000))*1,[1]OUT_TransportEnergyCons!G$3:G$1000)</f>
        <v>5.4840468718953357E-6</v>
      </c>
      <c r="J1364" s="1" cm="1">
        <f t="array" ref="J1364">SUMPRODUCT(("T_B_u-ICEDSL-S1"=[1]OUT_TransportEnergyCons!$A$3:$A$1000)*1,("var_fout"=[1]OUT_TransportEnergyCons!$B$3:$B$1000)*1,ISNUMBER(SEARCH("tpbsu",[1]OUT_TransportEnergyCons!$C$3:$C$1000))*1,[1]OUT_TransportEnergyCons!H$3:H$1000)</f>
        <v>3.2586191425156027E-6</v>
      </c>
      <c r="K1364" s="1" cm="1">
        <f t="array" ref="K1364">SUMPRODUCT(("T_B_u-ICEDSL-S1"=[1]OUT_TransportEnergyCons!$A$3:$A$1000)*1,("var_fout"=[1]OUT_TransportEnergyCons!$B$3:$B$1000)*1,ISNUMBER(SEARCH("tpbsu",[1]OUT_TransportEnergyCons!$C$3:$C$1000))*1,[1]OUT_TransportEnergyCons!I$3:I$1000)</f>
        <v>1.8482372149658973E-6</v>
      </c>
    </row>
    <row r="1365" spans="2:11" x14ac:dyDescent="0.35">
      <c r="B1365" s="5" t="str">
        <f t="shared" si="799"/>
        <v>SPS3</v>
      </c>
      <c r="C1365" s="5" t="str">
        <f t="shared" si="808"/>
        <v>CH</v>
      </c>
      <c r="D1365" t="s">
        <v>1364</v>
      </c>
      <c r="E1365" t="str">
        <f t="shared" si="809"/>
        <v>billion km/yr.</v>
      </c>
      <c r="F1365" s="1" cm="1">
        <f t="array" ref="F1365">SUMPRODUCT(("T_B_u-ICEDSL-S2"=[1]OUT_TransportEnergyCons!$A$3:$A$1000)*1,("var_fout"=[1]OUT_TransportEnergyCons!$B$3:$B$1000)*1,ISNUMBER(SEARCH("tpbsu",[1]OUT_TransportEnergyCons!$C$3:$C$1000))*1,[1]OUT_TransportEnergyCons!D$3:D$1000)</f>
        <v>9.3984571798143256E-3</v>
      </c>
      <c r="G1365" s="1" cm="1">
        <f t="array" ref="G1365">SUMPRODUCT(("T_B_u-ICEDSL-S2"=[1]OUT_TransportEnergyCons!$A$3:$A$1000)*1,("var_fout"=[1]OUT_TransportEnergyCons!$B$3:$B$1000)*1,ISNUMBER(SEARCH("tpbsu",[1]OUT_TransportEnergyCons!$C$3:$C$1000))*1,[1]OUT_TransportEnergyCons!E$3:E$1000)</f>
        <v>1.1906382285226846E-2</v>
      </c>
      <c r="H1365" s="1" cm="1">
        <f t="array" ref="H1365">SUMPRODUCT(("T_B_u-ICEDSL-S2"=[1]OUT_TransportEnergyCons!$A$3:$A$1000)*1,("var_fout"=[1]OUT_TransportEnergyCons!$B$3:$B$1000)*1,ISNUMBER(SEARCH("tpbsu",[1]OUT_TransportEnergyCons!$C$3:$C$1000))*1,[1]OUT_TransportEnergyCons!F$3:F$1000)</f>
        <v>2.1167653272330968E-2</v>
      </c>
      <c r="I1365" s="1" cm="1">
        <f t="array" ref="I1365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SUMPRODUCT(("T_B_u-ICEDSL-S2"=[1]OUT_TransportEnergyCons!$A$3:$A$1000)*1,("var_fout"=[1]OUT_TransportEnergyCons!$B$3:$B$1000)*1,ISNUMBER(SEARCH("tpbsu",[1]OUT_TransportEnergyCons!$C$3:$C$1000))*1,[1]OUT_TransportEnergyCons!H$3:H$1000)</f>
        <v>1.2333292440692385E-6</v>
      </c>
      <c r="K1365" s="1" cm="1">
        <f t="array" ref="K1365">SUMPRODUCT(("T_B_u-ICEDSL-S2"=[1]OUT_TransportEnergyCons!$A$3:$A$1000)*1,("var_fout"=[1]OUT_TransportEnergyCons!$B$3:$B$1000)*1,ISNUMBER(SEARCH("tpbsu",[1]OUT_TransportEnergyCons!$C$3:$C$1000))*1,[1]OUT_TransportEnergyCons!I$3:I$1000)</f>
        <v>0</v>
      </c>
    </row>
    <row r="1366" spans="2:11" x14ac:dyDescent="0.35">
      <c r="B1366" s="5" t="str">
        <f t="shared" si="799"/>
        <v>SPS3</v>
      </c>
      <c r="C1366" s="5" t="str">
        <f t="shared" si="808"/>
        <v>CH</v>
      </c>
      <c r="D1366" t="s">
        <v>1365</v>
      </c>
      <c r="E1366" t="str">
        <f t="shared" si="809"/>
        <v>billion km/yr.</v>
      </c>
      <c r="F1366" s="1" cm="1">
        <f t="array" ref="F1366">SUMPRODUCT(("T_B_u-ICEDSL-S3"=[1]OUT_TransportEnergyCons!$A$3:$A$1000)*1,("var_fout"=[1]OUT_TransportEnergyCons!$B$3:$B$1000)*1,ISNUMBER(SEARCH("tpbsu",[1]OUT_TransportEnergyCons!$C$3:$C$1000))*1,[1]OUT_TransportEnergyCons!D$3:D$1000)</f>
        <v>3.6144666324691141E-2</v>
      </c>
      <c r="G1366" s="1" cm="1">
        <f t="array" ref="G1366">SUMPRODUCT(("T_B_u-ICEDSL-S3"=[1]OUT_TransportEnergyCons!$A$3:$A$1000)*1,("var_fout"=[1]OUT_TransportEnergyCons!$B$3:$B$1000)*1,ISNUMBER(SEARCH("tpbsu",[1]OUT_TransportEnergyCons!$C$3:$C$1000))*1,[1]OUT_TransportEnergyCons!E$3:E$1000)</f>
        <v>5.3932372988282053E-2</v>
      </c>
      <c r="H1366" s="1" cm="1">
        <f t="array" ref="H1366">SUMPRODUCT(("T_B_u-ICEDSL-S3"=[1]OUT_TransportEnergyCons!$A$3:$A$1000)*1,("var_fout"=[1]OUT_TransportEnergyCons!$B$3:$B$1000)*1,ISNUMBER(SEARCH("tpbsu",[1]OUT_TransportEnergyCons!$C$3:$C$1000))*1,[1]OUT_TransportEnergyCons!F$3:F$1000)</f>
        <v>8.0138220305583874E-2</v>
      </c>
      <c r="I1366" s="1" cm="1">
        <f t="array" ref="I1366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6" s="1" cm="1">
        <f t="array" ref="J1366">SUMPRODUCT(("T_B_u-ICEDSL-S3"=[1]OUT_TransportEnergyCons!$A$3:$A$1000)*1,("var_fout"=[1]OUT_TransportEnergyCons!$B$3:$B$1000)*1,ISNUMBER(SEARCH("tpbsu",[1]OUT_TransportEnergyCons!$C$3:$C$1000))*1,[1]OUT_TransportEnergyCons!H$3:H$1000)</f>
        <v>2.5334714270241139E-6</v>
      </c>
      <c r="K1366" s="1" cm="1">
        <f t="array" ref="K1366">SUMPRODUCT(("T_B_u-ICEDSL-S3"=[1]OUT_TransportEnergyCons!$A$3:$A$1000)*1,("var_fout"=[1]OUT_TransportEnergyCons!$B$3:$B$1000)*1,ISNUMBER(SEARCH("tpbsu",[1]OUT_TransportEnergyCons!$C$3:$C$1000))*1,[1]OUT_TransportEnergyCons!I$3:I$1000)</f>
        <v>0</v>
      </c>
    </row>
    <row r="1367" spans="2:11" x14ac:dyDescent="0.35">
      <c r="B1367" s="5" t="str">
        <f t="shared" si="799"/>
        <v>SPS3</v>
      </c>
      <c r="C1367" s="5" t="str">
        <f t="shared" si="808"/>
        <v>CH</v>
      </c>
      <c r="D1367" t="s">
        <v>1366</v>
      </c>
      <c r="E1367" t="str">
        <f t="shared" si="809"/>
        <v>billion km/yr.</v>
      </c>
      <c r="F1367" s="1" cm="1">
        <f t="array" ref="F1367">SUMPRODUCT(("T_B_u-ICEDSL-S4"=[1]OUT_TransportEnergyCons!$A$3:$A$1000)*1,("var_fout"=[1]OUT_TransportEnergyCons!$B$3:$B$1000)*1,ISNUMBER(SEARCH("tpbsu",[1]OUT_TransportEnergyCons!$C$3:$C$1000))*1,[1]OUT_TransportEnergyCons!D$3:D$1000)</f>
        <v>2.2431217344419147E-4</v>
      </c>
      <c r="G1367" s="1" cm="1">
        <f t="array" ref="G1367">SUMPRODUCT(("T_B_u-ICEDSL-S4"=[1]OUT_TransportEnergyCons!$A$3:$A$1000)*1,("var_fout"=[1]OUT_TransportEnergyCons!$B$3:$B$1000)*1,ISNUMBER(SEARCH("tpbsu",[1]OUT_TransportEnergyCons!$C$3:$C$1000))*1,[1]OUT_TransportEnergyCons!E$3:E$1000)</f>
        <v>3.1124091063308541E-5</v>
      </c>
      <c r="H1367" s="1" cm="1">
        <f t="array" ref="H1367">SUMPRODUCT(("T_B_u-ICEDSL-S4"=[1]OUT_TransportEnergyCons!$A$3:$A$1000)*1,("var_fout"=[1]OUT_TransportEnergyCons!$B$3:$B$1000)*1,ISNUMBER(SEARCH("tpbsu",[1]OUT_TransportEnergyCons!$C$3:$C$1000))*1,[1]OUT_TransportEnergyCons!F$3:F$1000)</f>
        <v>4.2070904565175709E-5</v>
      </c>
      <c r="I1367" s="1" cm="1">
        <f t="array" ref="I1367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SUMPRODUCT(("T_B_u-ICEDSL-S4"=[1]OUT_TransportEnergyCons!$A$3:$A$1000)*1,("var_fout"=[1]OUT_TransportEnergyCons!$B$3:$B$1000)*1,ISNUMBER(SEARCH("tpbsu",[1]OUT_TransportEnergyCons!$C$3:$C$1000))*1,[1]OUT_TransportEnergyCons!I$3:I$1000)</f>
        <v>0</v>
      </c>
    </row>
    <row r="1368" spans="2:11" x14ac:dyDescent="0.35">
      <c r="B1368" s="5" t="str">
        <f t="shared" si="799"/>
        <v>SPS3</v>
      </c>
      <c r="C1368" s="5" t="str">
        <f t="shared" si="808"/>
        <v>CH</v>
      </c>
      <c r="D1368" t="s">
        <v>2006</v>
      </c>
      <c r="E1368" t="str">
        <f t="shared" si="809"/>
        <v>billion km/yr.</v>
      </c>
      <c r="F1368" s="1" cm="1">
        <f t="array" ref="F1368">SUMPRODUCT(("T_B_u-ICEngaEXT"=[1]OUT_TransportEnergyCons!$A$3:$A$1000)*1,("var_fout"=[1]OUT_TransportEnergyCons!$B$3:$B$1000)*1,ISNUMBER(SEARCH("tpbsu",[1]OUT_TransportEnergyCons!$C$3:$C$1000))*1,[1]OUT_TransportEnergyCons!D$3:D$1000)</f>
        <v>4.3897444704661913E-3</v>
      </c>
      <c r="G1368" s="1" cm="1">
        <f t="array" ref="G1368">SUMPRODUCT(("T_B_u-ICEngaEXT"=[1]OUT_TransportEnergyCons!$A$3:$A$1000)*1,("var_fout"=[1]OUT_TransportEnergyCons!$B$3:$B$1000)*1,ISNUMBER(SEARCH("tpbsu",[1]OUT_TransportEnergyCons!$C$3:$C$1000))*1,[1]OUT_TransportEnergyCons!E$3:E$1000)</f>
        <v>3.5526278436017358E-3</v>
      </c>
      <c r="H1368" s="1" cm="1">
        <f t="array" ref="H1368">SUMPRODUCT(("T_B_u-ICEngaEXT"=[1]OUT_TransportEnergyCons!$A$3:$A$1000)*1,("var_fout"=[1]OUT_TransportEnergyCons!$B$3:$B$1000)*1,ISNUMBER(SEARCH("tpbsu",[1]OUT_TransportEnergyCons!$C$3:$C$1000))*1,[1]OUT_TransportEnergyCons!F$3:F$1000)</f>
        <v>2.2212129089085623E-3</v>
      </c>
      <c r="I1368" s="1" cm="1">
        <f t="array" ref="I1368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SUMPRODUCT(("T_B_u-ICEngaEXT"=[1]OUT_TransportEnergyCons!$A$3:$A$1000)*1,("var_fout"=[1]OUT_TransportEnergyCons!$B$3:$B$1000)*1,ISNUMBER(SEARCH("tpbsu",[1]OUT_TransportEnergyCons!$C$3:$C$1000))*1,[1]OUT_TransportEnergyCons!I$3:I$1000)</f>
        <v>0</v>
      </c>
    </row>
    <row r="1369" spans="2:11" x14ac:dyDescent="0.35">
      <c r="B1369" s="5" t="str">
        <f t="shared" si="799"/>
        <v>SPS3</v>
      </c>
      <c r="C1369" s="5" t="str">
        <f t="shared" si="808"/>
        <v>CH</v>
      </c>
      <c r="D1369" t="s">
        <v>1367</v>
      </c>
      <c r="E1369" t="str">
        <f t="shared" si="809"/>
        <v>billion km/yr.</v>
      </c>
      <c r="F1369" s="1" cm="1">
        <f t="array" ref="F1369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69" s="1" cm="1">
        <f t="array" ref="G1369">SUMPRODUCT(("T_B_u-ICEnga-S1"=[1]OUT_TransportEnergyCons!$A$3:$A$1000)*1,("var_fout"=[1]OUT_TransportEnergyCons!$B$3:$B$1000)*1,ISNUMBER(SEARCH("tpbsu",[1]OUT_TransportEnergyCons!$C$3:$C$1000))*1,[1]OUT_TransportEnergyCons!E$3:E$1000)</f>
        <v>1.2280281930867323E-5</v>
      </c>
      <c r="H1369" s="1" cm="1">
        <f t="array" ref="H1369">SUMPRODUCT(("T_B_u-ICEnga-S1"=[1]OUT_TransportEnergyCons!$A$3:$A$1000)*1,("var_fout"=[1]OUT_TransportEnergyCons!$B$3:$B$1000)*1,ISNUMBER(SEARCH("tpbsu",[1]OUT_TransportEnergyCons!$C$3:$C$1000))*1,[1]OUT_TransportEnergyCons!F$3:F$1000)</f>
        <v>1.3378821031109718E-4</v>
      </c>
      <c r="I1369" s="1" cm="1">
        <f t="array" ref="I1369">SUMPRODUCT(("T_B_u-ICEnga-S1"=[1]OUT_TransportEnergyCons!$A$3:$A$1000)*1,("var_fout"=[1]OUT_TransportEnergyCons!$B$3:$B$1000)*1,ISNUMBER(SEARCH("tpbsu",[1]OUT_TransportEnergyCons!$C$3:$C$1000))*1,[1]OUT_TransportEnergyCons!G$3:G$1000)</f>
        <v>5.2585083198168793E-6</v>
      </c>
      <c r="J1369" s="1" cm="1">
        <f t="array" ref="J1369">SUMPRODUCT(("T_B_u-ICEnga-S1"=[1]OUT_TransportEnergyCons!$A$3:$A$1000)*1,("var_fout"=[1]OUT_TransportEnergyCons!$B$3:$B$1000)*1,ISNUMBER(SEARCH("tpbsu",[1]OUT_TransportEnergyCons!$C$3:$C$1000))*1,[1]OUT_TransportEnergyCons!H$3:H$1000)</f>
        <v>6.6161072658413659E-6</v>
      </c>
      <c r="K1369" s="1" cm="1">
        <f t="array" ref="K1369">SUMPRODUCT(("T_B_u-ICEnga-S1"=[1]OUT_TransportEnergyCons!$A$3:$A$1000)*1,("var_fout"=[1]OUT_TransportEnergyCons!$B$3:$B$1000)*1,ISNUMBER(SEARCH("tpbsu",[1]OUT_TransportEnergyCons!$C$3:$C$1000))*1,[1]OUT_TransportEnergyCons!I$3:I$1000)</f>
        <v>3.9563900579702955E-6</v>
      </c>
    </row>
    <row r="1370" spans="2:11" x14ac:dyDescent="0.35">
      <c r="B1370" s="5" t="str">
        <f t="shared" si="799"/>
        <v>SPS3</v>
      </c>
      <c r="C1370" s="5" t="str">
        <f t="shared" si="808"/>
        <v>CH</v>
      </c>
      <c r="D1370" t="s">
        <v>1368</v>
      </c>
      <c r="E1370" t="str">
        <f t="shared" si="809"/>
        <v>billion km/yr.</v>
      </c>
      <c r="F1370" s="1" cm="1">
        <f t="array" ref="F1370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0" s="1" cm="1">
        <f t="array" ref="G1370">SUMPRODUCT(("T_B_u-ICEnga-S2"=[1]OUT_TransportEnergyCons!$A$3:$A$1000)*1,("var_fout"=[1]OUT_TransportEnergyCons!$B$3:$B$1000)*1,ISNUMBER(SEARCH("tpbsu",[1]OUT_TransportEnergyCons!$C$3:$C$1000))*1,[1]OUT_TransportEnergyCons!E$3:E$1000)</f>
        <v>3.838359792228639E-6</v>
      </c>
      <c r="H1370" s="1" cm="1">
        <f t="array" ref="H1370">SUMPRODUCT(("T_B_u-ICEnga-S2"=[1]OUT_TransportEnergyCons!$A$3:$A$1000)*1,("var_fout"=[1]OUT_TransportEnergyCons!$B$3:$B$1000)*1,ISNUMBER(SEARCH("tpbsu",[1]OUT_TransportEnergyCons!$C$3:$C$1000))*1,[1]OUT_TransportEnergyCons!F$3:F$1000)</f>
        <v>2.0145965118827124E-4</v>
      </c>
      <c r="I1370" s="1" cm="1">
        <f t="array" ref="I1370">SUMPRODUCT(("T_B_u-ICEnga-S2"=[1]OUT_TransportEnergyCons!$A$3:$A$1000)*1,("var_fout"=[1]OUT_TransportEnergyCons!$B$3:$B$1000)*1,ISNUMBER(SEARCH("tpbsu",[1]OUT_TransportEnergyCons!$C$3:$C$1000))*1,[1]OUT_TransportEnergyCons!G$3:G$1000)</f>
        <v>3.2174820607228425E-6</v>
      </c>
      <c r="J1370" s="1" cm="1">
        <f t="array" ref="J1370">SUMPRODUCT(("T_B_u-ICEnga-S2"=[1]OUT_TransportEnergyCons!$A$3:$A$1000)*1,("var_fout"=[1]OUT_TransportEnergyCons!$B$3:$B$1000)*1,ISNUMBER(SEARCH("tpbsu",[1]OUT_TransportEnergyCons!$C$3:$C$1000))*1,[1]OUT_TransportEnergyCons!H$3:H$1000)</f>
        <v>3.2990351116551208E-6</v>
      </c>
      <c r="K1370" s="1" cm="1">
        <f t="array" ref="K1370">SUMPRODUCT(("T_B_u-ICEnga-S2"=[1]OUT_TransportEnergyCons!$A$3:$A$1000)*1,("var_fout"=[1]OUT_TransportEnergyCons!$B$3:$B$1000)*1,ISNUMBER(SEARCH("tpbsu",[1]OUT_TransportEnergyCons!$C$3:$C$1000))*1,[1]OUT_TransportEnergyCons!I$3:I$1000)</f>
        <v>8.8272121753963905E-8</v>
      </c>
    </row>
    <row r="1371" spans="2:11" x14ac:dyDescent="0.35">
      <c r="B1371" s="5" t="str">
        <f t="shared" si="799"/>
        <v>SPS3</v>
      </c>
      <c r="C1371" s="5" t="str">
        <f t="shared" si="808"/>
        <v>CH</v>
      </c>
      <c r="D1371" t="s">
        <v>1369</v>
      </c>
      <c r="E1371" t="str">
        <f t="shared" si="809"/>
        <v>billion km/yr.</v>
      </c>
      <c r="F1371" s="1" cm="1">
        <f t="array" ref="F1371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SUMPRODUCT(("T_B_u-ICEnga-S3"=[1]OUT_TransportEnergyCons!$A$3:$A$1000)*1,("var_fout"=[1]OUT_TransportEnergyCons!$B$3:$B$1000)*1,ISNUMBER(SEARCH("tpbsu",[1]OUT_TransportEnergyCons!$C$3:$C$1000))*1,[1]OUT_TransportEnergyCons!E$3:E$1000)</f>
        <v>2.5187966605089996E-6</v>
      </c>
      <c r="H1371" s="1" cm="1">
        <f t="array" ref="H1371">SUMPRODUCT(("T_B_u-ICEnga-S3"=[1]OUT_TransportEnergyCons!$A$3:$A$1000)*1,("var_fout"=[1]OUT_TransportEnergyCons!$B$3:$B$1000)*1,ISNUMBER(SEARCH("tpbsu",[1]OUT_TransportEnergyCons!$C$3:$C$1000))*1,[1]OUT_TransportEnergyCons!F$3:F$1000)</f>
        <v>1.2663954786611381E-3</v>
      </c>
      <c r="I1371" s="1" cm="1">
        <f t="array" ref="I1371">SUMPRODUCT(("T_B_u-ICEnga-S3"=[1]OUT_TransportEnergyCons!$A$3:$A$1000)*1,("var_fout"=[1]OUT_TransportEnergyCons!$B$3:$B$1000)*1,ISNUMBER(SEARCH("tpbsu",[1]OUT_TransportEnergyCons!$C$3:$C$1000))*1,[1]OUT_TransportEnergyCons!G$3:G$1000)</f>
        <v>8.3363368651956514E-6</v>
      </c>
      <c r="J1371" s="1" cm="1">
        <f t="array" ref="J1371">SUMPRODUCT(("T_B_u-ICEnga-S3"=[1]OUT_TransportEnergyCons!$A$3:$A$1000)*1,("var_fout"=[1]OUT_TransportEnergyCons!$B$3:$B$1000)*1,ISNUMBER(SEARCH("tpbsu",[1]OUT_TransportEnergyCons!$C$3:$C$1000))*1,[1]OUT_TransportEnergyCons!H$3:H$1000)</f>
        <v>3.9762632806609044E-6</v>
      </c>
      <c r="K1371" s="1" cm="1">
        <f t="array" ref="K1371">SUMPRODUCT(("T_B_u-ICEnga-S3"=[1]OUT_TransportEnergyCons!$A$3:$A$1000)*1,("var_fout"=[1]OUT_TransportEnergyCons!$B$3:$B$1000)*1,ISNUMBER(SEARCH("tpbsu",[1]OUT_TransportEnergyCons!$C$3:$C$1000))*1,[1]OUT_TransportEnergyCons!I$3:I$1000)</f>
        <v>0</v>
      </c>
    </row>
    <row r="1372" spans="2:11" x14ac:dyDescent="0.35">
      <c r="B1372" s="5" t="str">
        <f t="shared" si="799"/>
        <v>SPS3</v>
      </c>
      <c r="C1372" s="5" t="str">
        <f t="shared" si="808"/>
        <v>CH</v>
      </c>
      <c r="D1372" t="s">
        <v>1370</v>
      </c>
      <c r="E1372" t="str">
        <f t="shared" si="809"/>
        <v>billion km/yr.</v>
      </c>
      <c r="F1372" s="1" cm="1">
        <f t="array" ref="F1372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2" s="1" cm="1">
        <f t="array" ref="H1372">SUMPRODUCT(("T_B_u-ICEnga-S4"=[1]OUT_TransportEnergyCons!$A$3:$A$1000)*1,("var_fout"=[1]OUT_TransportEnergyCons!$B$3:$B$1000)*1,ISNUMBER(SEARCH("tpbsu",[1]OUT_TransportEnergyCons!$C$3:$C$1000))*1,[1]OUT_TransportEnergyCons!F$3:F$1000)</f>
        <v>4.6249100691621166E-6</v>
      </c>
      <c r="I1372" s="1" cm="1">
        <f t="array" ref="I1372">SUMPRODUCT(("T_B_u-ICEnga-S4"=[1]OUT_TransportEnergyCons!$A$3:$A$1000)*1,("var_fout"=[1]OUT_TransportEnergyCons!$B$3:$B$1000)*1,ISNUMBER(SEARCH("tpbsu",[1]OUT_TransportEnergyCons!$C$3:$C$1000))*1,[1]OUT_TransportEnergyCons!G$3:G$1000)</f>
        <v>8.2404424544002097E-8</v>
      </c>
      <c r="J1372" s="1" cm="1">
        <f t="array" ref="J1372">SUMPRODUCT(("T_B_u-ICEnga-S4"=[1]OUT_TransportEnergyCons!$A$3:$A$1000)*1,("var_fout"=[1]OUT_TransportEnergyCons!$B$3:$B$1000)*1,ISNUMBER(SEARCH("tpbsu",[1]OUT_TransportEnergyCons!$C$3:$C$1000))*1,[1]OUT_TransportEnergyCons!H$3:H$1000)</f>
        <v>1.4864499669163815E-6</v>
      </c>
      <c r="K1372" s="1" cm="1">
        <f t="array" ref="K1372">SUMPRODUCT(("T_B_u-ICEnga-S4"=[1]OUT_TransportEnergyCons!$A$3:$A$1000)*1,("var_fout"=[1]OUT_TransportEnergyCons!$B$3:$B$1000)*1,ISNUMBER(SEARCH("tpbsu",[1]OUT_TransportEnergyCons!$C$3:$C$1000))*1,[1]OUT_TransportEnergyCons!I$3:I$1000)</f>
        <v>0</v>
      </c>
    </row>
    <row r="1373" spans="2:11" x14ac:dyDescent="0.35">
      <c r="B1373" s="5" t="str">
        <f t="shared" si="799"/>
        <v>SPS3</v>
      </c>
      <c r="C1373" s="5" t="str">
        <f>C1372</f>
        <v>CH</v>
      </c>
      <c r="D1373" s="2" t="s">
        <v>1371</v>
      </c>
      <c r="E1373" s="2" t="s">
        <v>1230</v>
      </c>
      <c r="F1373" s="22" t="s">
        <v>292</v>
      </c>
      <c r="G1373" s="22" t="s">
        <v>292</v>
      </c>
      <c r="H1373" s="22" t="s">
        <v>292</v>
      </c>
      <c r="I1373" s="22" t="s">
        <v>292</v>
      </c>
      <c r="J1373" s="22" t="s">
        <v>292</v>
      </c>
      <c r="K1373" s="22" t="s">
        <v>292</v>
      </c>
    </row>
    <row r="1374" spans="2:11" x14ac:dyDescent="0.35">
      <c r="B1374" s="5" t="str">
        <f t="shared" si="799"/>
        <v>SPS3</v>
      </c>
      <c r="C1374" s="5" t="str">
        <f t="shared" ref="C1374:C1396" si="810">C1373</f>
        <v>CH</v>
      </c>
      <c r="D1374" t="s">
        <v>1372</v>
      </c>
      <c r="E1374" t="s">
        <v>1230</v>
      </c>
      <c r="F1374" s="1">
        <f>IFERROR(F1350/F1315,"-")</f>
        <v>4.1906042144660312</v>
      </c>
      <c r="G1374" s="1">
        <f t="shared" ref="G1374:K1374" si="811">IFERROR(G1350/G1315,"-")</f>
        <v>3.3737507326839342</v>
      </c>
      <c r="H1374" s="1">
        <f t="shared" si="811"/>
        <v>2.1484705100107937</v>
      </c>
      <c r="I1374" s="1" t="str">
        <f t="shared" si="811"/>
        <v>-</v>
      </c>
      <c r="J1374" s="1" t="str">
        <f t="shared" si="811"/>
        <v>-</v>
      </c>
      <c r="K1374" s="1" t="str">
        <f t="shared" si="811"/>
        <v>-</v>
      </c>
    </row>
    <row r="1375" spans="2:11" x14ac:dyDescent="0.35">
      <c r="B1375" s="5" t="str">
        <f t="shared" si="799"/>
        <v>SPS3</v>
      </c>
      <c r="C1375" s="5" t="str">
        <f t="shared" si="810"/>
        <v>CH</v>
      </c>
      <c r="D1375" t="s">
        <v>1373</v>
      </c>
      <c r="E1375" t="s">
        <v>1230</v>
      </c>
      <c r="F1375" s="1">
        <f t="shared" ref="F1375:K1375" si="812">IFERROR(F1351/F1316,"-")</f>
        <v>0.37869321701871839</v>
      </c>
      <c r="G1375" s="1">
        <f t="shared" si="812"/>
        <v>0.39242074962247464</v>
      </c>
      <c r="H1375" s="1">
        <f t="shared" si="812"/>
        <v>0.40547654959474899</v>
      </c>
      <c r="I1375" s="1">
        <f t="shared" si="812"/>
        <v>0.44719679762741327</v>
      </c>
      <c r="J1375" s="1">
        <f t="shared" si="812"/>
        <v>0.47342837340087612</v>
      </c>
      <c r="K1375" s="1">
        <f t="shared" si="812"/>
        <v>0.54216151116005462</v>
      </c>
    </row>
    <row r="1376" spans="2:11" x14ac:dyDescent="0.35">
      <c r="B1376" s="5" t="str">
        <f t="shared" si="799"/>
        <v>SPS3</v>
      </c>
      <c r="C1376" s="5" t="str">
        <f t="shared" si="810"/>
        <v>CH</v>
      </c>
      <c r="D1376" t="s">
        <v>1374</v>
      </c>
      <c r="E1376" t="s">
        <v>1230</v>
      </c>
      <c r="F1376" s="1">
        <f t="shared" ref="F1376:K1376" si="813">IFERROR(F1352/F1317,"-")</f>
        <v>0.27518070496490704</v>
      </c>
      <c r="G1376" s="1">
        <f t="shared" si="813"/>
        <v>0.27862849974404141</v>
      </c>
      <c r="H1376" s="1">
        <f t="shared" si="813"/>
        <v>0.28870221809670676</v>
      </c>
      <c r="I1376" s="1">
        <f t="shared" si="813"/>
        <v>0.32352517715361601</v>
      </c>
      <c r="J1376" s="1">
        <f t="shared" si="813"/>
        <v>0.3434714906714717</v>
      </c>
      <c r="K1376" s="1">
        <f t="shared" si="813"/>
        <v>0.39157729087259613</v>
      </c>
    </row>
    <row r="1377" spans="2:11" x14ac:dyDescent="0.35">
      <c r="B1377" s="5" t="str">
        <f t="shared" si="799"/>
        <v>SPS3</v>
      </c>
      <c r="C1377" s="5" t="str">
        <f t="shared" si="810"/>
        <v>CH</v>
      </c>
      <c r="D1377" t="s">
        <v>1375</v>
      </c>
      <c r="E1377" t="s">
        <v>1230</v>
      </c>
      <c r="F1377" s="1">
        <f t="shared" ref="F1377:K1377" si="814">IFERROR(F1353/F1318,"-")</f>
        <v>0.18297040713439916</v>
      </c>
      <c r="G1377" s="1">
        <f t="shared" si="814"/>
        <v>0.18539524035232549</v>
      </c>
      <c r="H1377" s="1">
        <f t="shared" si="814"/>
        <v>0.18954348022157941</v>
      </c>
      <c r="I1377" s="1">
        <f t="shared" si="814"/>
        <v>0.2158770458748106</v>
      </c>
      <c r="J1377" s="1">
        <f t="shared" si="814"/>
        <v>0.23513380942386483</v>
      </c>
      <c r="K1377" s="1">
        <f t="shared" si="814"/>
        <v>0.25683912796482972</v>
      </c>
    </row>
    <row r="1378" spans="2:11" x14ac:dyDescent="0.35">
      <c r="B1378" s="5" t="str">
        <f t="shared" si="799"/>
        <v>SPS3</v>
      </c>
      <c r="C1378" s="5" t="str">
        <f t="shared" si="810"/>
        <v>CH</v>
      </c>
      <c r="D1378" t="s">
        <v>1376</v>
      </c>
      <c r="E1378" t="s">
        <v>1230</v>
      </c>
      <c r="F1378" s="1">
        <f t="shared" ref="F1378:K1378" si="815">IFERROR(F1354/F1319,"-")</f>
        <v>0.12198710645807057</v>
      </c>
      <c r="G1378" s="1">
        <f t="shared" si="815"/>
        <v>0.12406113020517766</v>
      </c>
      <c r="H1378" s="1">
        <f t="shared" si="815"/>
        <v>0.12700447207404528</v>
      </c>
      <c r="I1378" s="1">
        <f t="shared" si="815"/>
        <v>0.13667151028134336</v>
      </c>
      <c r="J1378" s="1">
        <f t="shared" si="815"/>
        <v>0.15635378704488878</v>
      </c>
      <c r="K1378" s="1">
        <f t="shared" si="815"/>
        <v>0.17547614587850266</v>
      </c>
    </row>
    <row r="1379" spans="2:11" x14ac:dyDescent="0.35">
      <c r="B1379" s="5" t="str">
        <f t="shared" si="799"/>
        <v>SPS3</v>
      </c>
      <c r="C1379" s="5" t="str">
        <f t="shared" si="810"/>
        <v>CH</v>
      </c>
      <c r="D1379" t="s">
        <v>1377</v>
      </c>
      <c r="E1379" t="s">
        <v>1230</v>
      </c>
      <c r="F1379" s="1" t="str">
        <f>IFERROR(F1355/F1321,"-")</f>
        <v>-</v>
      </c>
      <c r="G1379" s="1" t="str">
        <f t="shared" ref="G1379:K1379" si="816">IFERROR(G1355/G1321,"-")</f>
        <v>-</v>
      </c>
      <c r="H1379" s="1" t="str">
        <f t="shared" si="816"/>
        <v>-</v>
      </c>
      <c r="I1379" s="1" t="str">
        <f t="shared" si="816"/>
        <v>-</v>
      </c>
      <c r="J1379" s="1">
        <f t="shared" si="816"/>
        <v>0.26455897826041092</v>
      </c>
      <c r="K1379" s="1">
        <f t="shared" si="816"/>
        <v>0.29871420180410146</v>
      </c>
    </row>
    <row r="1380" spans="2:11" x14ac:dyDescent="0.35">
      <c r="B1380" s="5" t="str">
        <f t="shared" si="799"/>
        <v>SPS3</v>
      </c>
      <c r="C1380" s="5" t="str">
        <f t="shared" si="810"/>
        <v>CH</v>
      </c>
      <c r="D1380" t="s">
        <v>1378</v>
      </c>
      <c r="E1380" t="s">
        <v>1230</v>
      </c>
      <c r="F1380" s="1" t="str">
        <f t="shared" ref="F1380:K1380" si="817">IFERROR(F1356/F1322,"-")</f>
        <v>-</v>
      </c>
      <c r="G1380" s="1" t="str">
        <f t="shared" si="817"/>
        <v>-</v>
      </c>
      <c r="H1380" s="1" t="str">
        <f t="shared" si="817"/>
        <v>-</v>
      </c>
      <c r="I1380" s="1" t="str">
        <f t="shared" si="817"/>
        <v>-</v>
      </c>
      <c r="J1380" s="1" t="str">
        <f t="shared" si="817"/>
        <v>-</v>
      </c>
      <c r="K1380" s="1" t="str">
        <f t="shared" si="817"/>
        <v>-</v>
      </c>
    </row>
    <row r="1381" spans="2:11" x14ac:dyDescent="0.35">
      <c r="B1381" s="5" t="str">
        <f t="shared" si="799"/>
        <v>SPS3</v>
      </c>
      <c r="C1381" s="5" t="str">
        <f t="shared" si="810"/>
        <v>CH</v>
      </c>
      <c r="D1381" t="s">
        <v>1379</v>
      </c>
      <c r="E1381" t="s">
        <v>1230</v>
      </c>
      <c r="F1381" s="1" t="str">
        <f t="shared" ref="F1381:K1381" si="818">IFERROR(F1357/F1323,"-")</f>
        <v>-</v>
      </c>
      <c r="G1381" s="1" t="str">
        <f t="shared" si="818"/>
        <v>-</v>
      </c>
      <c r="H1381" s="1" t="str">
        <f t="shared" si="818"/>
        <v>-</v>
      </c>
      <c r="I1381" s="1" t="str">
        <f t="shared" si="818"/>
        <v>-</v>
      </c>
      <c r="J1381" s="1">
        <f t="shared" si="818"/>
        <v>0.12984912198953499</v>
      </c>
      <c r="K1381" s="1">
        <f t="shared" si="818"/>
        <v>0.14622838504849969</v>
      </c>
    </row>
    <row r="1382" spans="2:11" x14ac:dyDescent="0.35">
      <c r="B1382" s="5" t="str">
        <f t="shared" si="799"/>
        <v>SPS3</v>
      </c>
      <c r="C1382" s="5" t="str">
        <f t="shared" si="810"/>
        <v>CH</v>
      </c>
      <c r="D1382" t="s">
        <v>1380</v>
      </c>
      <c r="E1382" t="s">
        <v>1230</v>
      </c>
      <c r="F1382" s="1" t="str">
        <f t="shared" ref="F1382:K1382" si="819">IFERROR(F1358/F1324,"-")</f>
        <v>-</v>
      </c>
      <c r="G1382" s="1" t="str">
        <f t="shared" si="819"/>
        <v>-</v>
      </c>
      <c r="H1382" s="1" t="str">
        <f t="shared" si="819"/>
        <v>-</v>
      </c>
      <c r="I1382" s="1" t="str">
        <f t="shared" si="819"/>
        <v>-</v>
      </c>
      <c r="J1382" s="1">
        <f t="shared" si="819"/>
        <v>8.7175192735955628E-2</v>
      </c>
      <c r="K1382" s="1" t="str">
        <f t="shared" si="819"/>
        <v>-</v>
      </c>
    </row>
    <row r="1383" spans="2:11" x14ac:dyDescent="0.35">
      <c r="B1383" s="5" t="str">
        <f t="shared" si="799"/>
        <v>SPS3</v>
      </c>
      <c r="C1383" s="5" t="str">
        <f t="shared" si="810"/>
        <v>CH</v>
      </c>
      <c r="D1383" t="s">
        <v>1381</v>
      </c>
      <c r="E1383" t="s">
        <v>1230</v>
      </c>
      <c r="F1383" s="1" t="str">
        <f>IFERROR(F1359/F1330,"-")</f>
        <v>-</v>
      </c>
      <c r="G1383" s="1">
        <f t="shared" ref="G1383:K1383" si="820">IFERROR(G1359/G1330,"-")</f>
        <v>0.16251369968883855</v>
      </c>
      <c r="H1383" s="1">
        <f t="shared" si="820"/>
        <v>0.16273451316522344</v>
      </c>
      <c r="I1383" s="1">
        <f t="shared" si="820"/>
        <v>0.17565754059186081</v>
      </c>
      <c r="J1383" s="1">
        <f t="shared" si="820"/>
        <v>0.19608423092328492</v>
      </c>
      <c r="K1383" s="1">
        <f t="shared" si="820"/>
        <v>0.22487015320048287</v>
      </c>
    </row>
    <row r="1384" spans="2:11" x14ac:dyDescent="0.35">
      <c r="B1384" s="5" t="str">
        <f t="shared" si="799"/>
        <v>SPS3</v>
      </c>
      <c r="C1384" s="5" t="str">
        <f t="shared" si="810"/>
        <v>CH</v>
      </c>
      <c r="D1384" t="s">
        <v>1382</v>
      </c>
      <c r="E1384" t="s">
        <v>1230</v>
      </c>
      <c r="F1384" s="1" t="str">
        <f t="shared" ref="F1384:K1384" si="821">IFERROR(F1360/F1331,"-")</f>
        <v>-</v>
      </c>
      <c r="G1384" s="1">
        <f t="shared" si="821"/>
        <v>0.11649393435744147</v>
      </c>
      <c r="H1384" s="1">
        <f t="shared" si="821"/>
        <v>0.11865779909531561</v>
      </c>
      <c r="I1384" s="1">
        <f t="shared" si="821"/>
        <v>0.12496398118511644</v>
      </c>
      <c r="J1384" s="1">
        <f t="shared" si="821"/>
        <v>0.14108298024082244</v>
      </c>
      <c r="K1384" s="1">
        <f t="shared" si="821"/>
        <v>0.14967764573195635</v>
      </c>
    </row>
    <row r="1385" spans="2:11" x14ac:dyDescent="0.35">
      <c r="B1385" s="5" t="str">
        <f t="shared" si="799"/>
        <v>SPS3</v>
      </c>
      <c r="C1385" s="5" t="str">
        <f t="shared" si="810"/>
        <v>CH</v>
      </c>
      <c r="D1385" t="s">
        <v>1383</v>
      </c>
      <c r="E1385" t="s">
        <v>1230</v>
      </c>
      <c r="F1385" s="1" t="str">
        <f t="shared" ref="F1385:K1385" si="822">IFERROR(F1361/F1332,"-")</f>
        <v>-</v>
      </c>
      <c r="G1385" s="1">
        <f t="shared" si="822"/>
        <v>7.8235828164578872E-2</v>
      </c>
      <c r="H1385" s="1">
        <f t="shared" si="822"/>
        <v>8.2158947112058317E-2</v>
      </c>
      <c r="I1385" s="1">
        <f t="shared" si="822"/>
        <v>8.221096644495525E-2</v>
      </c>
      <c r="J1385" s="1">
        <f t="shared" si="822"/>
        <v>9.4987708128731307E-2</v>
      </c>
      <c r="K1385" s="1">
        <f t="shared" si="822"/>
        <v>0.1029661174338545</v>
      </c>
    </row>
    <row r="1386" spans="2:11" x14ac:dyDescent="0.35">
      <c r="B1386" s="5" t="str">
        <f t="shared" si="799"/>
        <v>SPS3</v>
      </c>
      <c r="C1386" s="5" t="str">
        <f t="shared" si="810"/>
        <v>CH</v>
      </c>
      <c r="D1386" t="s">
        <v>1384</v>
      </c>
      <c r="E1386" t="s">
        <v>1230</v>
      </c>
      <c r="F1386" s="1" t="str">
        <f t="shared" ref="F1386:K1386" si="823">IFERROR(F1362/F1333,"-")</f>
        <v>-</v>
      </c>
      <c r="G1386" s="1">
        <f t="shared" si="823"/>
        <v>5.2751439830497703E-2</v>
      </c>
      <c r="H1386" s="1">
        <f t="shared" si="823"/>
        <v>5.3907144630673996E-2</v>
      </c>
      <c r="I1386" s="1">
        <f t="shared" si="823"/>
        <v>5.6704366342463369E-2</v>
      </c>
      <c r="J1386" s="1">
        <f t="shared" si="823"/>
        <v>6.4848034424450751E-2</v>
      </c>
      <c r="K1386" s="1" t="str">
        <f t="shared" si="823"/>
        <v>-</v>
      </c>
    </row>
    <row r="1387" spans="2:11" x14ac:dyDescent="0.35">
      <c r="B1387" s="5" t="str">
        <f t="shared" si="799"/>
        <v>SPS3</v>
      </c>
      <c r="C1387" s="5" t="str">
        <f t="shared" si="810"/>
        <v>CH</v>
      </c>
      <c r="D1387" t="s">
        <v>2003</v>
      </c>
      <c r="E1387" t="s">
        <v>1230</v>
      </c>
      <c r="F1387" s="1">
        <f>IFERROR(F1363/F1334,"-")</f>
        <v>13.9686807148868</v>
      </c>
      <c r="G1387" s="1">
        <f t="shared" ref="G1387:K1387" si="824">IFERROR(G1363/G1334,"-")</f>
        <v>11.189596541502645</v>
      </c>
      <c r="H1387" s="1">
        <f t="shared" si="824"/>
        <v>7.0209702814264237</v>
      </c>
      <c r="I1387" s="1" t="str">
        <f t="shared" si="824"/>
        <v>-</v>
      </c>
      <c r="J1387" s="1" t="str">
        <f t="shared" si="824"/>
        <v>-</v>
      </c>
      <c r="K1387" s="1" t="str">
        <f t="shared" si="824"/>
        <v>-</v>
      </c>
    </row>
    <row r="1388" spans="2:11" x14ac:dyDescent="0.35">
      <c r="B1388" s="5" t="str">
        <f t="shared" si="799"/>
        <v>SPS3</v>
      </c>
      <c r="C1388" s="5" t="str">
        <f t="shared" si="810"/>
        <v>CH</v>
      </c>
      <c r="D1388" t="s">
        <v>1385</v>
      </c>
      <c r="E1388" t="s">
        <v>1230</v>
      </c>
      <c r="F1388" s="1">
        <f t="shared" ref="F1388:K1388" si="825">IFERROR(F1364/F1335,"-")</f>
        <v>0.12391916748597517</v>
      </c>
      <c r="G1388" s="1">
        <f t="shared" si="825"/>
        <v>0.12850909700010507</v>
      </c>
      <c r="H1388" s="1">
        <f t="shared" si="825"/>
        <v>0.13176534830514747</v>
      </c>
      <c r="I1388" s="1">
        <f t="shared" si="825"/>
        <v>0.12391916748597513</v>
      </c>
      <c r="J1388" s="1">
        <f t="shared" si="825"/>
        <v>0.16079508779684393</v>
      </c>
      <c r="K1388" s="1">
        <f t="shared" si="825"/>
        <v>0.17377378559612186</v>
      </c>
    </row>
    <row r="1389" spans="2:11" x14ac:dyDescent="0.35">
      <c r="B1389" s="5" t="str">
        <f t="shared" si="799"/>
        <v>SPS3</v>
      </c>
      <c r="C1389" s="5" t="str">
        <f t="shared" si="810"/>
        <v>CH</v>
      </c>
      <c r="D1389" t="s">
        <v>1386</v>
      </c>
      <c r="E1389" t="s">
        <v>1230</v>
      </c>
      <c r="F1389" s="1">
        <f t="shared" ref="F1389:K1389" si="826">IFERROR(F1365/F1336,"-")</f>
        <v>8.7465847585616499E-2</v>
      </c>
      <c r="G1389" s="1">
        <f t="shared" si="826"/>
        <v>8.7813042953483855E-2</v>
      </c>
      <c r="H1389" s="1">
        <f t="shared" si="826"/>
        <v>9.0849845519513861E-2</v>
      </c>
      <c r="I1389" s="1" t="str">
        <f t="shared" si="826"/>
        <v>-</v>
      </c>
      <c r="J1389" s="1">
        <f t="shared" si="826"/>
        <v>0.11343753121307451</v>
      </c>
      <c r="K1389" s="1" t="str">
        <f t="shared" si="826"/>
        <v>-</v>
      </c>
    </row>
    <row r="1390" spans="2:11" x14ac:dyDescent="0.35">
      <c r="B1390" s="5" t="str">
        <f t="shared" si="799"/>
        <v>SPS3</v>
      </c>
      <c r="C1390" s="5" t="str">
        <f t="shared" si="810"/>
        <v>CH</v>
      </c>
      <c r="D1390" t="s">
        <v>1387</v>
      </c>
      <c r="E1390" t="s">
        <v>1230</v>
      </c>
      <c r="F1390" s="1">
        <f t="shared" ref="F1390:K1390" si="827">IFERROR(F1366/F1337,"-")</f>
        <v>5.7949527986548677E-2</v>
      </c>
      <c r="G1390" s="1">
        <f t="shared" si="827"/>
        <v>5.822294129656299E-2</v>
      </c>
      <c r="H1390" s="1">
        <f t="shared" si="827"/>
        <v>5.9716670905606166E-2</v>
      </c>
      <c r="I1390" s="1" t="str">
        <f t="shared" si="827"/>
        <v>-</v>
      </c>
      <c r="J1390" s="1">
        <f t="shared" si="827"/>
        <v>7.3410327052493965E-2</v>
      </c>
      <c r="K1390" s="1" t="str">
        <f t="shared" si="827"/>
        <v>-</v>
      </c>
    </row>
    <row r="1391" spans="2:11" x14ac:dyDescent="0.35">
      <c r="B1391" s="5" t="str">
        <f t="shared" si="799"/>
        <v>SPS3</v>
      </c>
      <c r="C1391" s="5" t="str">
        <f t="shared" si="810"/>
        <v>CH</v>
      </c>
      <c r="D1391" t="s">
        <v>1388</v>
      </c>
      <c r="E1391" t="s">
        <v>1230</v>
      </c>
      <c r="F1391" s="1">
        <f t="shared" ref="F1391:K1391" si="828">IFERROR(F1367/F1338,"-")</f>
        <v>3.8646481387947504E-2</v>
      </c>
      <c r="G1391" s="1">
        <f t="shared" si="828"/>
        <v>3.8917042496979727E-2</v>
      </c>
      <c r="H1391" s="1">
        <f t="shared" si="828"/>
        <v>3.9166277726925998E-2</v>
      </c>
      <c r="I1391" s="1" t="str">
        <f t="shared" si="828"/>
        <v>-</v>
      </c>
      <c r="J1391" s="1" t="str">
        <f t="shared" si="828"/>
        <v>-</v>
      </c>
      <c r="K1391" s="1" t="str">
        <f t="shared" si="828"/>
        <v>-</v>
      </c>
    </row>
    <row r="1392" spans="2:11" x14ac:dyDescent="0.35">
      <c r="B1392" s="5" t="str">
        <f t="shared" si="799"/>
        <v>SPS3</v>
      </c>
      <c r="C1392" s="5" t="str">
        <f t="shared" si="810"/>
        <v>CH</v>
      </c>
      <c r="D1392" t="s">
        <v>2007</v>
      </c>
      <c r="E1392" t="s">
        <v>1230</v>
      </c>
      <c r="F1392" s="1">
        <f>IFERROR(F1368/F1344,"-")</f>
        <v>13.968680714886792</v>
      </c>
      <c r="G1392" s="1">
        <f t="shared" ref="G1392:K1392" si="829">IFERROR(G1368/G1344,"-")</f>
        <v>11.186996076539062</v>
      </c>
      <c r="H1392" s="1">
        <f t="shared" si="829"/>
        <v>7.0144691190174733</v>
      </c>
      <c r="I1392" s="1" t="str">
        <f t="shared" si="829"/>
        <v>-</v>
      </c>
      <c r="J1392" s="1" t="str">
        <f t="shared" si="829"/>
        <v>-</v>
      </c>
      <c r="K1392" s="1" t="str">
        <f t="shared" si="829"/>
        <v>-</v>
      </c>
    </row>
    <row r="1393" spans="2:11" x14ac:dyDescent="0.35">
      <c r="B1393" s="5" t="str">
        <f t="shared" si="799"/>
        <v>SPS3</v>
      </c>
      <c r="C1393" s="5" t="str">
        <f t="shared" si="810"/>
        <v>CH</v>
      </c>
      <c r="D1393" t="s">
        <v>1389</v>
      </c>
      <c r="E1393" t="s">
        <v>1230</v>
      </c>
      <c r="F1393" s="1" t="str">
        <f t="shared" ref="F1393:K1393" si="830">IFERROR(F1369/F1345,"-")</f>
        <v>-</v>
      </c>
      <c r="G1393" s="1">
        <f t="shared" si="830"/>
        <v>0.12023751974847222</v>
      </c>
      <c r="H1393" s="1">
        <f t="shared" si="830"/>
        <v>0.12603461819758746</v>
      </c>
      <c r="I1393" s="1">
        <f t="shared" si="830"/>
        <v>0.13034464032872889</v>
      </c>
      <c r="J1393" s="1">
        <f t="shared" si="830"/>
        <v>0.14988413268840947</v>
      </c>
      <c r="K1393" s="1">
        <f t="shared" si="830"/>
        <v>0.1636857570776048</v>
      </c>
    </row>
    <row r="1394" spans="2:11" x14ac:dyDescent="0.35">
      <c r="B1394" s="5" t="str">
        <f t="shared" si="799"/>
        <v>SPS3</v>
      </c>
      <c r="C1394" s="5" t="str">
        <f t="shared" si="810"/>
        <v>CH</v>
      </c>
      <c r="D1394" t="s">
        <v>1390</v>
      </c>
      <c r="E1394" t="s">
        <v>1230</v>
      </c>
      <c r="F1394" s="1" t="str">
        <f t="shared" ref="F1394:K1394" si="831">IFERROR(F1370/F1346,"-")</f>
        <v>-</v>
      </c>
      <c r="G1394" s="1">
        <f t="shared" si="831"/>
        <v>8.4998076233608805E-2</v>
      </c>
      <c r="H1394" s="1">
        <f t="shared" si="831"/>
        <v>8.9263117727560001E-2</v>
      </c>
      <c r="I1394" s="1">
        <f t="shared" si="831"/>
        <v>9.1020329078265572E-2</v>
      </c>
      <c r="J1394" s="1">
        <f t="shared" si="831"/>
        <v>0.10436167906865045</v>
      </c>
      <c r="K1394" s="1">
        <f t="shared" si="831"/>
        <v>0.11701276274982093</v>
      </c>
    </row>
    <row r="1395" spans="2:11" x14ac:dyDescent="0.35">
      <c r="B1395" s="5" t="str">
        <f t="shared" si="799"/>
        <v>SPS3</v>
      </c>
      <c r="C1395" s="5" t="str">
        <f t="shared" si="810"/>
        <v>CH</v>
      </c>
      <c r="D1395" t="s">
        <v>1391</v>
      </c>
      <c r="E1395" t="s">
        <v>1230</v>
      </c>
      <c r="F1395" s="1" t="str">
        <f t="shared" ref="F1395:K1395" si="832">IFERROR(F1371/F1347,"-")</f>
        <v>-</v>
      </c>
      <c r="G1395" s="1">
        <f t="shared" si="832"/>
        <v>5.6422133461237173E-2</v>
      </c>
      <c r="H1395" s="1">
        <f t="shared" si="832"/>
        <v>5.934476320737176E-2</v>
      </c>
      <c r="I1395" s="1">
        <f t="shared" si="832"/>
        <v>6.0047864101150289E-2</v>
      </c>
      <c r="J1395" s="1">
        <f t="shared" si="832"/>
        <v>6.9152906586736937E-2</v>
      </c>
      <c r="K1395" s="1" t="str">
        <f t="shared" si="832"/>
        <v>-</v>
      </c>
    </row>
    <row r="1396" spans="2:11" x14ac:dyDescent="0.35">
      <c r="B1396" s="5" t="str">
        <f t="shared" ref="B1396:B1459" si="833">B1395</f>
        <v>SPS3</v>
      </c>
      <c r="C1396" s="5" t="str">
        <f t="shared" si="810"/>
        <v>CH</v>
      </c>
      <c r="D1396" t="s">
        <v>1392</v>
      </c>
      <c r="E1396" t="s">
        <v>1230</v>
      </c>
      <c r="F1396" s="1" t="str">
        <f t="shared" ref="F1396:K1396" si="834">IFERROR(F1372/F1348,"-")</f>
        <v>-</v>
      </c>
      <c r="G1396" s="1" t="str">
        <f t="shared" si="834"/>
        <v>-</v>
      </c>
      <c r="H1396" s="1">
        <f t="shared" si="834"/>
        <v>3.9068772706133889E-2</v>
      </c>
      <c r="I1396" s="1">
        <f t="shared" si="834"/>
        <v>3.7689157759834328E-2</v>
      </c>
      <c r="J1396" s="1">
        <f t="shared" si="834"/>
        <v>4.6397271115378953E-2</v>
      </c>
      <c r="K1396" s="1" t="str">
        <f t="shared" si="834"/>
        <v>-</v>
      </c>
    </row>
    <row r="1397" spans="2:11" x14ac:dyDescent="0.35">
      <c r="B1397" s="9" t="str">
        <f t="shared" si="833"/>
        <v>SPS3</v>
      </c>
      <c r="C1397" s="9" t="str">
        <f>C1396</f>
        <v>CH</v>
      </c>
      <c r="D1397" s="2" t="s">
        <v>1395</v>
      </c>
      <c r="E1397" s="2" t="s">
        <v>8</v>
      </c>
      <c r="F1397" s="3">
        <f>F1398+F1404+F1409+F1423</f>
        <v>0.81565786037127108</v>
      </c>
      <c r="G1397" s="3">
        <f t="shared" ref="G1397" si="835">G1398+G1404+G1409+G1423</f>
        <v>0.8465394971811171</v>
      </c>
      <c r="H1397" s="3">
        <f t="shared" ref="H1397" si="836">H1398+H1404+H1409+H1423</f>
        <v>1.0259875429810217</v>
      </c>
      <c r="I1397" s="3">
        <f t="shared" ref="I1397" si="837">I1398+I1404+I1409+I1423</f>
        <v>0.47422808140767442</v>
      </c>
      <c r="J1397" s="3">
        <f t="shared" ref="J1397" si="838">J1398+J1404+J1409+J1423</f>
        <v>0.39071076712465835</v>
      </c>
      <c r="K1397" s="3">
        <f t="shared" ref="K1397" si="839">K1398+K1404+K1409+K1423</f>
        <v>0.33474641612961203</v>
      </c>
    </row>
    <row r="1398" spans="2:11" x14ac:dyDescent="0.35">
      <c r="B1398" s="5" t="str">
        <f t="shared" si="833"/>
        <v>SPS3</v>
      </c>
      <c r="C1398" s="5" t="str">
        <f>C1397</f>
        <v>CH</v>
      </c>
      <c r="D1398" t="s">
        <v>1396</v>
      </c>
      <c r="E1398" t="s">
        <v>8</v>
      </c>
      <c r="F1398" s="1">
        <f>SUM(F1399:F1403)</f>
        <v>1.419979622361492E-3</v>
      </c>
      <c r="G1398" s="1">
        <f t="shared" ref="G1398" si="840">SUM(G1399:G1403)</f>
        <v>1.9771784359692655E-3</v>
      </c>
      <c r="H1398" s="1">
        <f t="shared" ref="H1398" si="841">SUM(H1399:H1403)</f>
        <v>3.6480406179216834E-3</v>
      </c>
      <c r="I1398" s="1">
        <f t="shared" ref="I1398" si="842">SUM(I1399:I1403)</f>
        <v>0.31435727947770048</v>
      </c>
      <c r="J1398" s="1">
        <f t="shared" ref="J1398" si="843">SUM(J1399:J1403)</f>
        <v>0.32592206728422596</v>
      </c>
      <c r="K1398" s="1">
        <f t="shared" ref="K1398" si="844">SUM(K1399:K1403)</f>
        <v>0.29557099159017908</v>
      </c>
    </row>
    <row r="1399" spans="2:11" x14ac:dyDescent="0.35">
      <c r="B1399" s="5" t="str">
        <f t="shared" si="833"/>
        <v>SPS3</v>
      </c>
      <c r="C1399" s="5" t="str">
        <f t="shared" ref="C1399:C1432" si="845">C1398</f>
        <v>CH</v>
      </c>
      <c r="D1399" t="s">
        <v>1397</v>
      </c>
      <c r="E1399" t="s">
        <v>8</v>
      </c>
      <c r="F1399" s="1" cm="1">
        <f t="array" ref="F1399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399" s="1" cm="1">
        <f t="array" ref="G1399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399" s="1" cm="1">
        <f t="array" ref="H1399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399" s="1" cm="1">
        <f t="array" ref="I1399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399" s="1" cm="1">
        <f t="array" ref="J1399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399" s="1" cm="1">
        <f t="array" ref="K1399">SUMPRODUCT(("T_B_c-BeVELCEXT"=[1]OUT_TransportEnergyCons!$A$3:$A$1000)*1,("Var_Fin"=[1]OUT_TransportEnergyCons!$B$3:$B$1000)*1,ISNUMBER(SEARCH("ELC",[1]OUT_TransportEnergyCons!$C$3:$C$1000))*1,[1]OUT_TransportEnergyCons!I$3:I$1000)</f>
        <v>0</v>
      </c>
    </row>
    <row r="1400" spans="2:11" x14ac:dyDescent="0.35">
      <c r="B1400" s="5" t="str">
        <f t="shared" si="833"/>
        <v>SPS3</v>
      </c>
      <c r="C1400" s="5" t="str">
        <f t="shared" si="845"/>
        <v>CH</v>
      </c>
      <c r="D1400" t="s">
        <v>1398</v>
      </c>
      <c r="E1400" t="s">
        <v>8</v>
      </c>
      <c r="F1400" s="1" cm="1">
        <f t="array" ref="F1400">SUMPRODUCT(("T_B_c-BEVELC-S1"=[1]OUT_TransportEnergyCons!$A$3:$A$1000)*1,("Var_Fin"=[1]OUT_TransportEnergyCons!$B$3:$B$1000)*1,ISNUMBER(SEARCH("ELC",[1]OUT_TransportEnergyCons!$C$3:$C$1000))*1,[1]OUT_TransportEnergyCons!D$3:D$1000)</f>
        <v>3.5473118768280024E-4</v>
      </c>
      <c r="G1400" s="1" cm="1">
        <f t="array" ref="G1400">SUMPRODUCT(("T_B_c-BEVELC-S1"=[1]OUT_TransportEnergyCons!$A$3:$A$1000)*1,("Var_Fin"=[1]OUT_TransportEnergyCons!$B$3:$B$1000)*1,ISNUMBER(SEARCH("ELC",[1]OUT_TransportEnergyCons!$C$3:$C$1000))*1,[1]OUT_TransportEnergyCons!E$3:E$1000)</f>
        <v>5.812837308396035E-4</v>
      </c>
      <c r="H1400" s="1" cm="1">
        <f t="array" ref="H1400">SUMPRODUCT(("T_B_c-BEVELC-S1"=[1]OUT_TransportEnergyCons!$A$3:$A$1000)*1,("Var_Fin"=[1]OUT_TransportEnergyCons!$B$3:$B$1000)*1,ISNUMBER(SEARCH("ELC",[1]OUT_TransportEnergyCons!$C$3:$C$1000))*1,[1]OUT_TransportEnergyCons!F$3:F$1000)</f>
        <v>1.1553563638835422E-3</v>
      </c>
      <c r="I1400" s="1" cm="1">
        <f t="array" ref="I1400">SUMPRODUCT(("T_B_c-BEVELC-S1"=[1]OUT_TransportEnergyCons!$A$3:$A$1000)*1,("Var_Fin"=[1]OUT_TransportEnergyCons!$B$3:$B$1000)*1,ISNUMBER(SEARCH("ELC",[1]OUT_TransportEnergyCons!$C$3:$C$1000))*1,[1]OUT_TransportEnergyCons!G$3:G$1000)</f>
        <v>0.14428967800360215</v>
      </c>
      <c r="J1400" s="1" cm="1">
        <f t="array" ref="J1400">SUMPRODUCT(("T_B_c-BEVELC-S1"=[1]OUT_TransportEnergyCons!$A$3:$A$1000)*1,("Var_Fin"=[1]OUT_TransportEnergyCons!$B$3:$B$1000)*1,ISNUMBER(SEARCH("ELC",[1]OUT_TransportEnergyCons!$C$3:$C$1000))*1,[1]OUT_TransportEnergyCons!H$3:H$1000)</f>
        <v>0.11089471665533671</v>
      </c>
      <c r="K1400" s="1" cm="1">
        <f t="array" ref="K1400">SUMPRODUCT(("T_B_c-BEVELC-S1"=[1]OUT_TransportEnergyCons!$A$3:$A$1000)*1,("Var_Fin"=[1]OUT_TransportEnergyCons!$B$3:$B$1000)*1,ISNUMBER(SEARCH("ELC",[1]OUT_TransportEnergyCons!$C$3:$C$1000))*1,[1]OUT_TransportEnergyCons!I$3:I$1000)</f>
        <v>0.10041798816880346</v>
      </c>
    </row>
    <row r="1401" spans="2:11" x14ac:dyDescent="0.35">
      <c r="B1401" s="5" t="str">
        <f t="shared" si="833"/>
        <v>SPS3</v>
      </c>
      <c r="C1401" s="5" t="str">
        <f t="shared" si="845"/>
        <v>CH</v>
      </c>
      <c r="D1401" t="s">
        <v>1399</v>
      </c>
      <c r="E1401" t="s">
        <v>8</v>
      </c>
      <c r="F1401" s="1" cm="1">
        <f t="array" ref="F1401">SUMPRODUCT(("T_B_c-BEVELC-S2"=[1]OUT_TransportEnergyCons!$A$3:$A$1000)*1,("Var_Fin"=[1]OUT_TransportEnergyCons!$B$3:$B$1000)*1,ISNUMBER(SEARCH("ELC",[1]OUT_TransportEnergyCons!$C$3:$C$1000))*1,[1]OUT_TransportEnergyCons!D$3:D$1000)</f>
        <v>6.8263412626574612E-4</v>
      </c>
      <c r="G1401" s="1" cm="1">
        <f t="array" ref="G1401">SUMPRODUCT(("T_B_c-BEVELC-S2"=[1]OUT_TransportEnergyCons!$A$3:$A$1000)*1,("Var_Fin"=[1]OUT_TransportEnergyCons!$B$3:$B$1000)*1,ISNUMBER(SEARCH("ELC",[1]OUT_TransportEnergyCons!$C$3:$C$1000))*1,[1]OUT_TransportEnergyCons!E$3:E$1000)</f>
        <v>7.0291665424383981E-4</v>
      </c>
      <c r="H1401" s="1" cm="1">
        <f t="array" ref="H1401">SUMPRODUCT(("T_B_c-BEVELC-S2"=[1]OUT_TransportEnergyCons!$A$3:$A$1000)*1,("Var_Fin"=[1]OUT_TransportEnergyCons!$B$3:$B$1000)*1,ISNUMBER(SEARCH("ELC",[1]OUT_TransportEnergyCons!$C$3:$C$1000))*1,[1]OUT_TransportEnergyCons!F$3:F$1000)</f>
        <v>1.362633543408154E-3</v>
      </c>
      <c r="I1401" s="1" cm="1">
        <f t="array" ref="I1401">SUMPRODUCT(("T_B_c-BEVELC-S2"=[1]OUT_TransportEnergyCons!$A$3:$A$1000)*1,("Var_Fin"=[1]OUT_TransportEnergyCons!$B$3:$B$1000)*1,ISNUMBER(SEARCH("ELC",[1]OUT_TransportEnergyCons!$C$3:$C$1000))*1,[1]OUT_TransportEnergyCons!G$3:G$1000)</f>
        <v>0.16837901931410135</v>
      </c>
      <c r="J1401" s="1" cm="1">
        <f t="array" ref="J1401">SUMPRODUCT(("T_B_c-BEVELC-S2"=[1]OUT_TransportEnergyCons!$A$3:$A$1000)*1,("Var_Fin"=[1]OUT_TransportEnergyCons!$B$3:$B$1000)*1,ISNUMBER(SEARCH("ELC",[1]OUT_TransportEnergyCons!$C$3:$C$1000))*1,[1]OUT_TransportEnergyCons!H$3:H$1000)</f>
        <v>0.16302292946607991</v>
      </c>
      <c r="K1401" s="1" cm="1">
        <f t="array" ref="K1401">SUMPRODUCT(("T_B_c-BEVELC-S2"=[1]OUT_TransportEnergyCons!$A$3:$A$1000)*1,("Var_Fin"=[1]OUT_TransportEnergyCons!$B$3:$B$1000)*1,ISNUMBER(SEARCH("ELC",[1]OUT_TransportEnergyCons!$C$3:$C$1000))*1,[1]OUT_TransportEnergyCons!I$3:I$1000)</f>
        <v>0.14835171673314873</v>
      </c>
    </row>
    <row r="1402" spans="2:11" x14ac:dyDescent="0.35">
      <c r="B1402" s="5" t="str">
        <f t="shared" si="833"/>
        <v>SPS3</v>
      </c>
      <c r="C1402" s="5" t="str">
        <f t="shared" si="845"/>
        <v>CH</v>
      </c>
      <c r="D1402" t="s">
        <v>1400</v>
      </c>
      <c r="E1402" t="s">
        <v>8</v>
      </c>
      <c r="F1402" s="1" cm="1">
        <f t="array" ref="F1402">SUMPRODUCT(("T_B_c-BEVELC-S3"=[1]OUT_TransportEnergyCons!$A$3:$A$1000)*1,("Var_Fin"=[1]OUT_TransportEnergyCons!$B$3:$B$1000)*1,ISNUMBER(SEARCH("ELC",[1]OUT_TransportEnergyCons!$C$3:$C$1000))*1,[1]OUT_TransportEnergyCons!D$3:D$1000)</f>
        <v>3.8261430841294571E-4</v>
      </c>
      <c r="G1402" s="1" cm="1">
        <f t="array" ref="G1402">SUMPRODUCT(("T_B_c-BEVELC-S3"=[1]OUT_TransportEnergyCons!$A$3:$A$1000)*1,("Var_Fin"=[1]OUT_TransportEnergyCons!$B$3:$B$1000)*1,ISNUMBER(SEARCH("ELC",[1]OUT_TransportEnergyCons!$C$3:$C$1000))*1,[1]OUT_TransportEnergyCons!E$3:E$1000)</f>
        <v>5.7067318711796604E-4</v>
      </c>
      <c r="H1402" s="1" cm="1">
        <f t="array" ref="H1402">SUMPRODUCT(("T_B_c-BEVELC-S3"=[1]OUT_TransportEnergyCons!$A$3:$A$1000)*1,("Var_Fin"=[1]OUT_TransportEnergyCons!$B$3:$B$1000)*1,ISNUMBER(SEARCH("ELC",[1]OUT_TransportEnergyCons!$C$3:$C$1000))*1,[1]OUT_TransportEnergyCons!F$3:F$1000)</f>
        <v>8.6914673540089665E-4</v>
      </c>
      <c r="I1402" s="1" cm="1">
        <f t="array" ref="I1402">SUMPRODUCT(("T_B_c-BEVELC-S3"=[1]OUT_TransportEnergyCons!$A$3:$A$1000)*1,("Var_Fin"=[1]OUT_TransportEnergyCons!$B$3:$B$1000)*1,ISNUMBER(SEARCH("ELC",[1]OUT_TransportEnergyCons!$C$3:$C$1000))*1,[1]OUT_TransportEnergyCons!G$3:G$1000)</f>
        <v>1.4325102094398E-3</v>
      </c>
      <c r="J1402" s="1" cm="1">
        <f t="array" ref="J1402">SUMPRODUCT(("T_B_c-BEVELC-S3"=[1]OUT_TransportEnergyCons!$A$3:$A$1000)*1,("Var_Fin"=[1]OUT_TransportEnergyCons!$B$3:$B$1000)*1,ISNUMBER(SEARCH("ELC",[1]OUT_TransportEnergyCons!$C$3:$C$1000))*1,[1]OUT_TransportEnergyCons!H$3:H$1000)</f>
        <v>5.1797515759215984E-2</v>
      </c>
      <c r="K1402" s="1" cm="1">
        <f t="array" ref="K1402">SUMPRODUCT(("T_B_c-BEVELC-S3"=[1]OUT_TransportEnergyCons!$A$3:$A$1000)*1,("Var_Fin"=[1]OUT_TransportEnergyCons!$B$3:$B$1000)*1,ISNUMBER(SEARCH("ELC",[1]OUT_TransportEnergyCons!$C$3:$C$1000))*1,[1]OUT_TransportEnergyCons!I$3:I$1000)</f>
        <v>4.6754053667976955E-2</v>
      </c>
    </row>
    <row r="1403" spans="2:11" x14ac:dyDescent="0.35">
      <c r="B1403" s="5" t="str">
        <f t="shared" si="833"/>
        <v>SPS3</v>
      </c>
      <c r="C1403" s="5" t="str">
        <f t="shared" si="845"/>
        <v>CH</v>
      </c>
      <c r="D1403" t="s">
        <v>1401</v>
      </c>
      <c r="E1403" t="s">
        <v>8</v>
      </c>
      <c r="F1403" s="1" cm="1">
        <f t="array" ref="F1403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3" s="1" cm="1">
        <f t="array" ref="G1403">SUMPRODUCT(("T_B_c-BEVELC-S4"=[1]OUT_TransportEnergyCons!$A$3:$A$1000)*1,("Var_Fin"=[1]OUT_TransportEnergyCons!$B$3:$B$1000)*1,ISNUMBER(SEARCH("ELC",[1]OUT_TransportEnergyCons!$C$3:$C$1000))*1,[1]OUT_TransportEnergyCons!E$3:E$1000)</f>
        <v>1.223048637678561E-4</v>
      </c>
      <c r="H1403" s="1" cm="1">
        <f t="array" ref="H1403">SUMPRODUCT(("T_B_c-BEVELC-S4"=[1]OUT_TransportEnergyCons!$A$3:$A$1000)*1,("Var_Fin"=[1]OUT_TransportEnergyCons!$B$3:$B$1000)*1,ISNUMBER(SEARCH("ELC",[1]OUT_TransportEnergyCons!$C$3:$C$1000))*1,[1]OUT_TransportEnergyCons!F$3:F$1000)</f>
        <v>2.6090397522909024E-4</v>
      </c>
      <c r="I1403" s="1" cm="1">
        <f t="array" ref="I1403">SUMPRODUCT(("T_B_c-BEVELC-S4"=[1]OUT_TransportEnergyCons!$A$3:$A$1000)*1,("Var_Fin"=[1]OUT_TransportEnergyCons!$B$3:$B$1000)*1,ISNUMBER(SEARCH("ELC",[1]OUT_TransportEnergyCons!$C$3:$C$1000))*1,[1]OUT_TransportEnergyCons!G$3:G$1000)</f>
        <v>2.5607195055718128E-4</v>
      </c>
      <c r="J1403" s="1" cm="1">
        <f t="array" ref="J1403">SUMPRODUCT(("T_B_c-BEVELC-S4"=[1]OUT_TransportEnergyCons!$A$3:$A$1000)*1,("Var_Fin"=[1]OUT_TransportEnergyCons!$B$3:$B$1000)*1,ISNUMBER(SEARCH("ELC",[1]OUT_TransportEnergyCons!$C$3:$C$1000))*1,[1]OUT_TransportEnergyCons!H$3:H$1000)</f>
        <v>2.0690540359336715E-4</v>
      </c>
      <c r="K1403" s="1" cm="1">
        <f t="array" ref="K1403">SUMPRODUCT(("T_B_c-BEVELC-S4"=[1]OUT_TransportEnergyCons!$A$3:$A$1000)*1,("Var_Fin"=[1]OUT_TransportEnergyCons!$B$3:$B$1000)*1,ISNUMBER(SEARCH("ELC",[1]OUT_TransportEnergyCons!$C$3:$C$1000))*1,[1]OUT_TransportEnergyCons!I$3:I$1000)</f>
        <v>4.72330202499695E-5</v>
      </c>
    </row>
    <row r="1404" spans="2:11" x14ac:dyDescent="0.35">
      <c r="B1404" s="5" t="str">
        <f t="shared" si="833"/>
        <v>SPS3</v>
      </c>
      <c r="C1404" s="5" t="str">
        <f t="shared" si="845"/>
        <v>CH</v>
      </c>
      <c r="D1404" t="s">
        <v>1402</v>
      </c>
      <c r="E1404" t="s">
        <v>8</v>
      </c>
      <c r="F1404" s="1">
        <f>SUM(F1405:F1408)</f>
        <v>0</v>
      </c>
      <c r="G1404" s="1">
        <f t="shared" ref="G1404" si="846">SUM(G1405:G1408)</f>
        <v>0</v>
      </c>
      <c r="H1404" s="1">
        <f t="shared" ref="H1404" si="847">SUM(H1405:H1408)</f>
        <v>0</v>
      </c>
      <c r="I1404" s="1">
        <f t="shared" ref="I1404" si="848">SUM(I1405:I1408)</f>
        <v>0</v>
      </c>
      <c r="J1404" s="1">
        <f t="shared" ref="J1404" si="849">SUM(J1405:J1408)</f>
        <v>3.1510348799607865E-6</v>
      </c>
      <c r="K1404" s="1">
        <f t="shared" ref="K1404" si="850">SUM(K1405:K1408)</f>
        <v>1.0677693343729436E-6</v>
      </c>
    </row>
    <row r="1405" spans="2:11" x14ac:dyDescent="0.35">
      <c r="B1405" s="5" t="str">
        <f t="shared" si="833"/>
        <v>SPS3</v>
      </c>
      <c r="C1405" s="5" t="str">
        <f t="shared" si="845"/>
        <v>CH</v>
      </c>
      <c r="D1405" t="s">
        <v>1403</v>
      </c>
      <c r="E1405" t="s">
        <v>8</v>
      </c>
      <c r="F1405" s="1" cm="1">
        <f t="array" ref="F1405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5" s="1" cm="1">
        <f t="array" ref="G1405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5" s="1" cm="1">
        <f t="array" ref="H1405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5" s="1" cm="1">
        <f t="array" ref="I1405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5" s="1" cm="1">
        <f t="array" ref="J1405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5" s="1" cm="1">
        <f t="array" ref="K1405">SUMPRODUCT(("T_B_c-FCLH2O-S1"=[1]OUT_TransportEnergyCons!$A$3:$A$1000)*1,("Var_Fin"=[1]OUT_TransportEnergyCons!$B$3:$B$1000)*1,ISNUMBER(SEARCH("H2",[1]OUT_TransportEnergyCons!$C$3:$C$1000))*1,[1]OUT_TransportEnergyCons!I$3:I$1000)</f>
        <v>0</v>
      </c>
    </row>
    <row r="1406" spans="2:11" x14ac:dyDescent="0.35">
      <c r="B1406" s="5" t="str">
        <f t="shared" si="833"/>
        <v>SPS3</v>
      </c>
      <c r="C1406" s="5" t="str">
        <f t="shared" si="845"/>
        <v>CH</v>
      </c>
      <c r="D1406" t="s">
        <v>1404</v>
      </c>
      <c r="E1406" t="s">
        <v>8</v>
      </c>
      <c r="F1406" s="1" cm="1">
        <f t="array" ref="F1406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6" s="1" cm="1">
        <f t="array" ref="G1406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6" s="1" cm="1">
        <f t="array" ref="H1406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6" s="1" cm="1">
        <f t="array" ref="I1406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6" s="1" cm="1">
        <f t="array" ref="J1406">SUMPRODUCT(("T_B_c-FCLH2O-S2"=[1]OUT_TransportEnergyCons!$A$3:$A$1000)*1,("Var_Fin"=[1]OUT_TransportEnergyCons!$B$3:$B$1000)*1,ISNUMBER(SEARCH("H2",[1]OUT_TransportEnergyCons!$C$3:$C$1000))*1,[1]OUT_TransportEnergyCons!H$3:H$1000)</f>
        <v>8.0652525804190681E-7</v>
      </c>
      <c r="K1406" s="1" cm="1">
        <f t="array" ref="K1406">SUMPRODUCT(("T_B_c-FCLH2O-S2"=[1]OUT_TransportEnergyCons!$A$3:$A$1000)*1,("Var_Fin"=[1]OUT_TransportEnergyCons!$B$3:$B$1000)*1,ISNUMBER(SEARCH("H2",[1]OUT_TransportEnergyCons!$C$3:$C$1000))*1,[1]OUT_TransportEnergyCons!I$3:I$1000)</f>
        <v>0</v>
      </c>
    </row>
    <row r="1407" spans="2:11" x14ac:dyDescent="0.35">
      <c r="B1407" s="5" t="str">
        <f t="shared" si="833"/>
        <v>SPS3</v>
      </c>
      <c r="C1407" s="5" t="str">
        <f t="shared" si="845"/>
        <v>CH</v>
      </c>
      <c r="D1407" t="s">
        <v>1405</v>
      </c>
      <c r="E1407" t="s">
        <v>8</v>
      </c>
      <c r="F1407" s="1" cm="1">
        <f t="array" ref="F1407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SUMPRODUCT(("T_B_c-FCLH2O-S3"=[1]OUT_TransportEnergyCons!$A$3:$A$1000)*1,("Var_Fin"=[1]OUT_TransportEnergyCons!$B$3:$B$1000)*1,ISNUMBER(SEARCH("H2",[1]OUT_TransportEnergyCons!$C$3:$C$1000))*1,[1]OUT_TransportEnergyCons!H$3:H$1000)</f>
        <v>1.5817351736845714E-6</v>
      </c>
      <c r="K1407" s="1" cm="1">
        <f t="array" ref="K1407">SUMPRODUCT(("T_B_c-FCLH2O-S3"=[1]OUT_TransportEnergyCons!$A$3:$A$1000)*1,("Var_Fin"=[1]OUT_TransportEnergyCons!$B$3:$B$1000)*1,ISNUMBER(SEARCH("H2",[1]OUT_TransportEnergyCons!$C$3:$C$1000))*1,[1]OUT_TransportEnergyCons!I$3:I$1000)</f>
        <v>1.0677693343729436E-6</v>
      </c>
    </row>
    <row r="1408" spans="2:11" x14ac:dyDescent="0.35">
      <c r="B1408" s="5" t="str">
        <f t="shared" si="833"/>
        <v>SPS3</v>
      </c>
      <c r="C1408" s="5" t="str">
        <f t="shared" si="845"/>
        <v>CH</v>
      </c>
      <c r="D1408" t="s">
        <v>1406</v>
      </c>
      <c r="E1408" t="s">
        <v>8</v>
      </c>
      <c r="F1408" s="1" cm="1">
        <f t="array" ref="F1408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SUMPRODUCT(("T_B_c-FCLH2O-S4"=[1]OUT_TransportEnergyCons!$A$3:$A$1000)*1,("Var_Fin"=[1]OUT_TransportEnergyCons!$B$3:$B$1000)*1,ISNUMBER(SEARCH("H2",[1]OUT_TransportEnergyCons!$C$3:$C$1000))*1,[1]OUT_TransportEnergyCons!H$3:H$1000)</f>
        <v>7.6277444823430804E-7</v>
      </c>
      <c r="K1408" s="1" cm="1">
        <f t="array" ref="K1408">SUMPRODUCT(("T_B_c-FCLH2O-S4"=[1]OUT_TransportEnergyCons!$A$3:$A$1000)*1,("Var_Fin"=[1]OUT_TransportEnergyCons!$B$3:$B$1000)*1,ISNUMBER(SEARCH("H2",[1]OUT_TransportEnergyCons!$C$3:$C$1000))*1,[1]OUT_TransportEnergyCons!I$3:I$1000)</f>
        <v>0</v>
      </c>
    </row>
    <row r="1409" spans="2:11" x14ac:dyDescent="0.35">
      <c r="B1409" s="5" t="str">
        <f t="shared" si="833"/>
        <v>SPS3</v>
      </c>
      <c r="C1409" s="5" t="str">
        <f t="shared" si="845"/>
        <v>CH</v>
      </c>
      <c r="D1409" t="s">
        <v>1407</v>
      </c>
      <c r="E1409" t="s">
        <v>8</v>
      </c>
      <c r="F1409" s="1">
        <f>SUM(F1414:F1422)</f>
        <v>0.81409980374718993</v>
      </c>
      <c r="G1409" s="1">
        <f t="shared" ref="G1409:K1409" si="851">SUM(G1414:G1422)</f>
        <v>0.84422693562240991</v>
      </c>
      <c r="H1409" s="1">
        <f t="shared" si="851"/>
        <v>1.0199064788998427</v>
      </c>
      <c r="I1409" s="1">
        <f t="shared" si="851"/>
        <v>0.15986766975028516</v>
      </c>
      <c r="J1409" s="1">
        <f t="shared" si="851"/>
        <v>6.4694803991926536E-2</v>
      </c>
      <c r="K1409" s="1">
        <f t="shared" si="851"/>
        <v>3.917017881046226E-2</v>
      </c>
    </row>
    <row r="1410" spans="2:11" x14ac:dyDescent="0.35">
      <c r="B1410" s="5" t="str">
        <f t="shared" si="833"/>
        <v>SPS3</v>
      </c>
      <c r="C1410" s="5" t="str">
        <f t="shared" si="845"/>
        <v>CH</v>
      </c>
      <c r="D1410" t="s">
        <v>1408</v>
      </c>
      <c r="E1410" t="s">
        <v>8</v>
      </c>
      <c r="F1410" s="1">
        <f>F1409-F1411</f>
        <v>0.79418017693828913</v>
      </c>
      <c r="G1410" s="1">
        <f t="shared" ref="G1410" si="852">G1409-G1411</f>
        <v>0.82222582302041447</v>
      </c>
      <c r="H1410" s="1">
        <f t="shared" ref="H1410" si="853">H1409-H1411</f>
        <v>0.97934566556040603</v>
      </c>
      <c r="I1410" s="1">
        <f t="shared" ref="I1410" si="854">I1409-I1411</f>
        <v>0.15471209243959505</v>
      </c>
      <c r="J1410" s="1">
        <f t="shared" ref="J1410" si="855">J1409-J1411</f>
        <v>1.7140586916939302E-2</v>
      </c>
      <c r="K1410" s="1">
        <f t="shared" ref="K1410" si="856">K1409-K1411</f>
        <v>-5.4678813198580999E-2</v>
      </c>
    </row>
    <row r="1411" spans="2:11" x14ac:dyDescent="0.35">
      <c r="B1411" s="5" t="str">
        <f t="shared" si="833"/>
        <v>SPS3</v>
      </c>
      <c r="C1411" s="5" t="str">
        <f t="shared" si="845"/>
        <v>CH</v>
      </c>
      <c r="D1411" t="s">
        <v>1409</v>
      </c>
      <c r="E1411" t="s">
        <v>8</v>
      </c>
      <c r="F1411" s="1">
        <f>SUM(F1412:F1413)</f>
        <v>1.9919626808900828E-2</v>
      </c>
      <c r="G1411" s="1">
        <f t="shared" ref="G1411" si="857">SUM(G1412:G1413)</f>
        <v>2.2001112601995436E-2</v>
      </c>
      <c r="H1411" s="1">
        <f t="shared" ref="H1411" si="858">SUM(H1412:H1413)</f>
        <v>4.0560813339436563E-2</v>
      </c>
      <c r="I1411" s="1">
        <f t="shared" ref="I1411" si="859">SUM(I1412:I1413)</f>
        <v>5.1555773106901097E-3</v>
      </c>
      <c r="J1411" s="1">
        <f t="shared" ref="J1411" si="860">SUM(J1412:J1413)</f>
        <v>4.7554217074987234E-2</v>
      </c>
      <c r="K1411" s="1">
        <f t="shared" ref="K1411" si="861">SUM(K1412:K1413)</f>
        <v>9.3848992009043258E-2</v>
      </c>
    </row>
    <row r="1412" spans="2:11" x14ac:dyDescent="0.35">
      <c r="B1412" s="5" t="str">
        <f t="shared" si="833"/>
        <v>SPS3</v>
      </c>
      <c r="C1412" s="5" t="str">
        <f t="shared" si="845"/>
        <v>CH</v>
      </c>
      <c r="D1412" t="s">
        <v>1410</v>
      </c>
      <c r="E1412" t="s">
        <v>8</v>
      </c>
      <c r="F1412" s="1">
        <f>[1]Transport!B$26/SUM([1]Transport!B$22,[1]Transport!B$26)*F1409*(F$33+F$580)/(F$33+F$580+F$36)</f>
        <v>1.9919626808900828E-2</v>
      </c>
      <c r="G1412" s="1">
        <f>[1]Transport!C$26/SUM([1]Transport!C$22,[1]Transport!C$26)*G1409*(G$33+G$580)/(G$33+G$580+G$36)</f>
        <v>2.2001112601995436E-2</v>
      </c>
      <c r="H1412" s="1">
        <f>[1]Transport!D$26/SUM([1]Transport!D$22,[1]Transport!D$26)*H1409*(H$33+H$580)/(H$33+H$580+H$36)</f>
        <v>4.0560813339436563E-2</v>
      </c>
      <c r="I1412" s="1">
        <f>[1]Transport!E$26/SUM([1]Transport!E$22,[1]Transport!E$26)*I1409*(I$33+I$580)/(I$33+I$580+I$36)</f>
        <v>5.1555773106901097E-3</v>
      </c>
      <c r="J1412" s="1">
        <f>[1]Transport!F$26/SUM([1]Transport!F$22,[1]Transport!F$26)*J1409*(J$33+J$580)/(J$33+J$580+J$36)</f>
        <v>7.8453864952773085E-4</v>
      </c>
      <c r="K1412" s="1">
        <f>[1]Transport!G$26/SUM([1]Transport!G$22,[1]Transport!G$26)*K1409*(K$33+K$580)/(K$33+K$580+K$36)</f>
        <v>1.4796141779493212E-2</v>
      </c>
    </row>
    <row r="1413" spans="2:11" x14ac:dyDescent="0.35">
      <c r="B1413" s="5" t="str">
        <f t="shared" si="833"/>
        <v>SPS3</v>
      </c>
      <c r="C1413" s="5" t="str">
        <f t="shared" si="845"/>
        <v>CH</v>
      </c>
      <c r="D1413" t="s">
        <v>1411</v>
      </c>
      <c r="E1413" t="s">
        <v>8</v>
      </c>
      <c r="F1413" s="1">
        <f>(F$36+F$716)/([1]Transport!B$22+[1]Transport!B$26)*F1409</f>
        <v>0</v>
      </c>
      <c r="G1413" s="1">
        <f>(G$36+G$716)/([1]Transport!C$22+[1]Transport!C$26)*G1409</f>
        <v>0</v>
      </c>
      <c r="H1413" s="1">
        <f>(H$36+H$716)/([1]Transport!D$22+[1]Transport!D$26)*H1409</f>
        <v>0</v>
      </c>
      <c r="I1413" s="1">
        <f>(I$36+I$716)/([1]Transport!E$22+[1]Transport!E$26)*I1409</f>
        <v>0</v>
      </c>
      <c r="J1413" s="1">
        <f>(J$36+J$716)/([1]Transport!F$22+[1]Transport!F$26)*J1409</f>
        <v>4.6769678425459503E-2</v>
      </c>
      <c r="K1413" s="1">
        <f>(K$36+K$716)/([1]Transport!G$22+[1]Transport!G$26)*K1409</f>
        <v>7.9052850229550053E-2</v>
      </c>
    </row>
    <row r="1414" spans="2:11" x14ac:dyDescent="0.35">
      <c r="B1414" s="5" t="str">
        <f t="shared" si="833"/>
        <v>SPS3</v>
      </c>
      <c r="C1414" s="5" t="str">
        <f t="shared" si="845"/>
        <v>CH</v>
      </c>
      <c r="D1414" t="s">
        <v>1412</v>
      </c>
      <c r="E1414" t="s">
        <v>8</v>
      </c>
      <c r="F1414" s="1" cm="1">
        <f t="array" ref="F1414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4" s="1" cm="1">
        <f t="array" ref="G1414">SUMPRODUCT(("T_B_c-HYBDSL-S1"=[1]OUT_TransportEnergyCons!$A$3:$A$1000)*1,("Var_Fin"=[1]OUT_TransportEnergyCons!$B$3:$B$1000)*1,ISNUMBER(SEARCH("DSL",[1]OUT_TransportEnergyCons!$C$3:$C$1000))*1,[1]OUT_TransportEnergyCons!E$3:E$1000)</f>
        <v>4.213151371490839E-3</v>
      </c>
      <c r="H1414" s="1" cm="1">
        <f t="array" ref="H1414">SUMPRODUCT(("T_B_c-HYBDSL-S1"=[1]OUT_TransportEnergyCons!$A$3:$A$1000)*1,("Var_Fin"=[1]OUT_TransportEnergyCons!$B$3:$B$1000)*1,ISNUMBER(SEARCH("DSL",[1]OUT_TransportEnergyCons!$C$3:$C$1000))*1,[1]OUT_TransportEnergyCons!F$3:F$1000)</f>
        <v>4.885016194175567E-3</v>
      </c>
      <c r="I1414" s="1" cm="1">
        <f t="array" ref="I1414">SUMPRODUCT(("T_B_c-HYBDSL-S1"=[1]OUT_TransportEnergyCons!$A$3:$A$1000)*1,("Var_Fin"=[1]OUT_TransportEnergyCons!$B$3:$B$1000)*1,ISNUMBER(SEARCH("DSL",[1]OUT_TransportEnergyCons!$C$3:$C$1000))*1,[1]OUT_TransportEnergyCons!G$3:G$1000)</f>
        <v>1.0597598044261925E-3</v>
      </c>
      <c r="J1414" s="1" cm="1">
        <f t="array" ref="J1414">SUMPRODUCT(("T_B_c-HYBDSL-S1"=[1]OUT_TransportEnergyCons!$A$3:$A$1000)*1,("Var_Fin"=[1]OUT_TransportEnergyCons!$B$3:$B$1000)*1,ISNUMBER(SEARCH("DSL",[1]OUT_TransportEnergyCons!$C$3:$C$1000))*1,[1]OUT_TransportEnergyCons!H$3:H$1000)</f>
        <v>6.1895859655338253E-2</v>
      </c>
      <c r="K1414" s="1" cm="1">
        <f t="array" ref="K1414">SUMPRODUCT(("T_B_c-HYBDSL-S1"=[1]OUT_TransportEnergyCons!$A$3:$A$1000)*1,("Var_Fin"=[1]OUT_TransportEnergyCons!$B$3:$B$1000)*1,ISNUMBER(SEARCH("DSL",[1]OUT_TransportEnergyCons!$C$3:$C$1000))*1,[1]OUT_TransportEnergyCons!I$3:I$1000)</f>
        <v>3.902684339745123E-2</v>
      </c>
    </row>
    <row r="1415" spans="2:11" x14ac:dyDescent="0.35">
      <c r="B1415" s="5" t="str">
        <f t="shared" si="833"/>
        <v>SPS3</v>
      </c>
      <c r="C1415" s="5" t="str">
        <f t="shared" si="845"/>
        <v>CH</v>
      </c>
      <c r="D1415" t="s">
        <v>1413</v>
      </c>
      <c r="E1415" t="s">
        <v>8</v>
      </c>
      <c r="F1415" s="1" cm="1">
        <f t="array" ref="F1415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5" s="1" cm="1">
        <f t="array" ref="G1415">SUMPRODUCT(("T_B_c-HYBDSL-S2"=[1]OUT_TransportEnergyCons!$A$3:$A$1000)*1,("Var_Fin"=[1]OUT_TransportEnergyCons!$B$3:$B$1000)*1,ISNUMBER(SEARCH("DSL",[1]OUT_TransportEnergyCons!$C$3:$C$1000))*1,[1]OUT_TransportEnergyCons!E$3:E$1000)</f>
        <v>6.8134226456204299E-4</v>
      </c>
      <c r="H1415" s="1" cm="1">
        <f t="array" ref="H1415">SUMPRODUCT(("T_B_c-HYBDSL-S2"=[1]OUT_TransportEnergyCons!$A$3:$A$1000)*1,("Var_Fin"=[1]OUT_TransportEnergyCons!$B$3:$B$1000)*1,ISNUMBER(SEARCH("DSL",[1]OUT_TransportEnergyCons!$C$3:$C$1000))*1,[1]OUT_TransportEnergyCons!F$3:F$1000)</f>
        <v>2.0818712330353099E-2</v>
      </c>
      <c r="I1415" s="1" cm="1">
        <f t="array" ref="I1415">SUMPRODUCT(("T_B_c-HYBDSL-S2"=[1]OUT_TransportEnergyCons!$A$3:$A$1000)*1,("Var_Fin"=[1]OUT_TransportEnergyCons!$B$3:$B$1000)*1,ISNUMBER(SEARCH("DSL",[1]OUT_TransportEnergyCons!$C$3:$C$1000))*1,[1]OUT_TransportEnergyCons!G$3:G$1000)</f>
        <v>2.3054700093947382E-2</v>
      </c>
      <c r="J1415" s="1" cm="1">
        <f t="array" ref="J1415">SUMPRODUCT(("T_B_c-HYBDSL-S2"=[1]OUT_TransportEnergyCons!$A$3:$A$1000)*1,("Var_Fin"=[1]OUT_TransportEnergyCons!$B$3:$B$1000)*1,ISNUMBER(SEARCH("DSL",[1]OUT_TransportEnergyCons!$C$3:$C$1000))*1,[1]OUT_TransportEnergyCons!H$3:H$1000)</f>
        <v>1.6549114815540297E-3</v>
      </c>
      <c r="K1415" s="1" cm="1">
        <f t="array" ref="K1415">SUMPRODUCT(("T_B_c-HYBDSL-S2"=[1]OUT_TransportEnergyCons!$A$3:$A$1000)*1,("Var_Fin"=[1]OUT_TransportEnergyCons!$B$3:$B$1000)*1,ISNUMBER(SEARCH("DSL",[1]OUT_TransportEnergyCons!$C$3:$C$1000))*1,[1]OUT_TransportEnergyCons!I$3:I$1000)</f>
        <v>1.1078495225432474E-4</v>
      </c>
    </row>
    <row r="1416" spans="2:11" x14ac:dyDescent="0.35">
      <c r="B1416" s="5" t="str">
        <f t="shared" si="833"/>
        <v>SPS3</v>
      </c>
      <c r="C1416" s="5" t="str">
        <f t="shared" si="845"/>
        <v>CH</v>
      </c>
      <c r="D1416" t="s">
        <v>1414</v>
      </c>
      <c r="E1416" t="s">
        <v>8</v>
      </c>
      <c r="F1416" s="1" cm="1">
        <f t="array" ref="F1416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SUMPRODUCT(("T_B_c-HYBDSL-S3"=[1]OUT_TransportEnergyCons!$A$3:$A$1000)*1,("Var_Fin"=[1]OUT_TransportEnergyCons!$B$3:$B$1000)*1,ISNUMBER(SEARCH("DSL",[1]OUT_TransportEnergyCons!$C$3:$C$1000))*1,[1]OUT_TransportEnergyCons!E$3:E$1000)</f>
        <v>4.7934055132040402E-4</v>
      </c>
      <c r="H1416" s="1" cm="1">
        <f t="array" ref="H1416">SUMPRODUCT(("T_B_c-HYBDSL-S3"=[1]OUT_TransportEnergyCons!$A$3:$A$1000)*1,("Var_Fin"=[1]OUT_TransportEnergyCons!$B$3:$B$1000)*1,ISNUMBER(SEARCH("DSL",[1]OUT_TransportEnergyCons!$C$3:$C$1000))*1,[1]OUT_TransportEnergyCons!F$3:F$1000)</f>
        <v>9.6079362775627706E-3</v>
      </c>
      <c r="I1416" s="1" cm="1">
        <f t="array" ref="I1416">SUMPRODUCT(("T_B_c-HYBDSL-S3"=[1]OUT_TransportEnergyCons!$A$3:$A$1000)*1,("Var_Fin"=[1]OUT_TransportEnergyCons!$B$3:$B$1000)*1,ISNUMBER(SEARCH("DSL",[1]OUT_TransportEnergyCons!$C$3:$C$1000))*1,[1]OUT_TransportEnergyCons!G$3:G$1000)</f>
        <v>0.13560512024919985</v>
      </c>
      <c r="J1416" s="1" cm="1">
        <f t="array" ref="J1416">SUMPRODUCT(("T_B_c-HYBDSL-S3"=[1]OUT_TransportEnergyCons!$A$3:$A$1000)*1,("Var_Fin"=[1]OUT_TransportEnergyCons!$B$3:$B$1000)*1,ISNUMBER(SEARCH("DSL",[1]OUT_TransportEnergyCons!$C$3:$C$1000))*1,[1]OUT_TransportEnergyCons!H$3:H$1000)</f>
        <v>1.036343147297412E-3</v>
      </c>
      <c r="K1416" s="1" cm="1">
        <f t="array" ref="K1416">SUMPRODUCT(("T_B_c-HYBDSL-S3"=[1]OUT_TransportEnergyCons!$A$3:$A$1000)*1,("Var_Fin"=[1]OUT_TransportEnergyCons!$B$3:$B$1000)*1,ISNUMBER(SEARCH("DSL",[1]OUT_TransportEnergyCons!$C$3:$C$1000))*1,[1]OUT_TransportEnergyCons!I$3:I$1000)</f>
        <v>3.0775775726454205E-5</v>
      </c>
    </row>
    <row r="1417" spans="2:11" x14ac:dyDescent="0.35">
      <c r="B1417" s="5" t="str">
        <f t="shared" si="833"/>
        <v>SPS3</v>
      </c>
      <c r="C1417" s="5" t="str">
        <f t="shared" si="845"/>
        <v>CH</v>
      </c>
      <c r="D1417" t="s">
        <v>1415</v>
      </c>
      <c r="E1417" t="s">
        <v>8</v>
      </c>
      <c r="F1417" s="1" cm="1">
        <f t="array" ref="F1417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SUMPRODUCT(("T_B_c-HYBDSL-S4"=[1]OUT_TransportEnergyCons!$A$3:$A$1000)*1,("Var_Fin"=[1]OUT_TransportEnergyCons!$B$3:$B$1000)*1,ISNUMBER(SEARCH("DSL",[1]OUT_TransportEnergyCons!$C$3:$C$1000))*1,[1]OUT_TransportEnergyCons!E$3:E$1000)</f>
        <v>1.0989943532732817E-4</v>
      </c>
      <c r="H1417" s="1" cm="1">
        <f t="array" ref="H1417">SUMPRODUCT(("T_B_c-HYBDSL-S4"=[1]OUT_TransportEnergyCons!$A$3:$A$1000)*1,("Var_Fin"=[1]OUT_TransportEnergyCons!$B$3:$B$1000)*1,ISNUMBER(SEARCH("DSL",[1]OUT_TransportEnergyCons!$C$3:$C$1000))*1,[1]OUT_TransportEnergyCons!F$3:F$1000)</f>
        <v>2.0201469546093318E-4</v>
      </c>
      <c r="I1417" s="1" cm="1">
        <f t="array" ref="I1417">SUMPRODUCT(("T_B_c-HYBDSL-S4"=[1]OUT_TransportEnergyCons!$A$3:$A$1000)*1,("Var_Fin"=[1]OUT_TransportEnergyCons!$B$3:$B$1000)*1,ISNUMBER(SEARCH("DSL",[1]OUT_TransportEnergyCons!$C$3:$C$1000))*1,[1]OUT_TransportEnergyCons!G$3:G$1000)</f>
        <v>1.4808960271173473E-4</v>
      </c>
      <c r="J1417" s="1" cm="1">
        <f t="array" ref="J1417">SUMPRODUCT(("T_B_c-HYBDSL-S4"=[1]OUT_TransportEnergyCons!$A$3:$A$1000)*1,("Var_Fin"=[1]OUT_TransportEnergyCons!$B$3:$B$1000)*1,ISNUMBER(SEARCH("DSL",[1]OUT_TransportEnergyCons!$C$3:$C$1000))*1,[1]OUT_TransportEnergyCons!H$3:H$1000)</f>
        <v>5.8231697721951577E-5</v>
      </c>
      <c r="K1417" s="1" cm="1">
        <f t="array" ref="K1417">SUMPRODUCT(("T_B_c-HYBDSL-S4"=[1]OUT_TransportEnergyCons!$A$3:$A$1000)*1,("Var_Fin"=[1]OUT_TransportEnergyCons!$B$3:$B$1000)*1,ISNUMBER(SEARCH("DSL",[1]OUT_TransportEnergyCons!$C$3:$C$1000))*1,[1]OUT_TransportEnergyCons!I$3:I$1000)</f>
        <v>0</v>
      </c>
    </row>
    <row r="1418" spans="2:11" x14ac:dyDescent="0.35">
      <c r="B1418" s="5" t="str">
        <f t="shared" si="833"/>
        <v>SPS3</v>
      </c>
      <c r="C1418" s="5" t="str">
        <f t="shared" si="845"/>
        <v>CH</v>
      </c>
      <c r="D1418" t="s">
        <v>2116</v>
      </c>
      <c r="E1418" t="s">
        <v>8</v>
      </c>
      <c r="F1418" s="1" cm="1">
        <f t="array" ref="F1418">SUMPRODUCT(("T_B_c-ICEDSLEXT"=[1]OUT_TransportEnergyCons!$A$3:$A$1000)*1,("Var_Fin"=[1]OUT_TransportEnergyCons!$B$3:$B$1000)*1,ISNUMBER(SEARCH("DSL",[1]OUT_TransportEnergyCons!$C$3:$C$1000))*1,[1]OUT_TransportEnergyCons!D$3:D$1000)</f>
        <v>6.0270364215397982E-3</v>
      </c>
      <c r="G1418" s="1" cm="1">
        <f t="array" ref="G1418">SUMPRODUCT(("T_B_c-ICEDSLEXT"=[1]OUT_TransportEnergyCons!$A$3:$A$1000)*1,("Var_Fin"=[1]OUT_TransportEnergyCons!$B$3:$B$1000)*1,ISNUMBER(SEARCH("DSL",[1]OUT_TransportEnergyCons!$C$3:$C$1000))*1,[1]OUT_TransportEnergyCons!E$3:E$1000)</f>
        <v>6.0142242684518418E-3</v>
      </c>
      <c r="H1418" s="1" cm="1">
        <f t="array" ref="H1418">SUMPRODUCT(("T_B_c-ICEDSLEXT"=[1]OUT_TransportEnergyCons!$A$3:$A$1000)*1,("Var_Fin"=[1]OUT_TransportEnergyCons!$B$3:$B$1000)*1,ISNUMBER(SEARCH("DSL",[1]OUT_TransportEnergyCons!$C$3:$C$1000))*1,[1]OUT_TransportEnergyCons!F$3:F$1000)</f>
        <v>5.9705835729496875E-3</v>
      </c>
      <c r="I1418" s="1" cm="1">
        <f t="array" ref="I1418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18" s="1" cm="1">
        <f t="array" ref="J1418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18" s="1" cm="1">
        <f t="array" ref="K1418">SUMPRODUCT(("T_B_c-ICEDSLEXT"=[1]OUT_TransportEnergyCons!$A$3:$A$1000)*1,("Var_Fin"=[1]OUT_TransportEnergyCons!$B$3:$B$1000)*1,ISNUMBER(SEARCH("DSL",[1]OUT_TransportEnergyCons!$C$3:$C$1000))*1,[1]OUT_TransportEnergyCons!I$3:I$1000)</f>
        <v>0</v>
      </c>
    </row>
    <row r="1419" spans="2:11" x14ac:dyDescent="0.35">
      <c r="B1419" s="5" t="str">
        <f t="shared" si="833"/>
        <v>SPS3</v>
      </c>
      <c r="C1419" s="5" t="str">
        <f t="shared" si="845"/>
        <v>CH</v>
      </c>
      <c r="D1419" t="s">
        <v>1416</v>
      </c>
      <c r="E1419" t="s">
        <v>8</v>
      </c>
      <c r="F1419" s="1" cm="1">
        <f t="array" ref="F1419">SUMPRODUCT(("T_B_c-ICEDSL-S1"=[1]OUT_TransportEnergyCons!$A$3:$A$1000)*1,("Var_Fin"=[1]OUT_TransportEnergyCons!$B$3:$B$1000)*1,ISNUMBER(SEARCH("DSL",[1]OUT_TransportEnergyCons!$C$3:$C$1000))*1,[1]OUT_TransportEnergyCons!D$3:D$1000)</f>
        <v>0.11313437110884267</v>
      </c>
      <c r="G1419" s="1" cm="1">
        <f t="array" ref="G1419">SUMPRODUCT(("T_B_c-ICEDSL-S1"=[1]OUT_TransportEnergyCons!$A$3:$A$1000)*1,("Var_Fin"=[1]OUT_TransportEnergyCons!$B$3:$B$1000)*1,ISNUMBER(SEARCH("DSL",[1]OUT_TransportEnergyCons!$C$3:$C$1000))*1,[1]OUT_TransportEnergyCons!E$3:E$1000)</f>
        <v>0.30617939492691232</v>
      </c>
      <c r="H1419" s="1" cm="1">
        <f t="array" ref="H1419">SUMPRODUCT(("T_B_c-ICEDSL-S1"=[1]OUT_TransportEnergyCons!$A$3:$A$1000)*1,("Var_Fin"=[1]OUT_TransportEnergyCons!$B$3:$B$1000)*1,ISNUMBER(SEARCH("DSL",[1]OUT_TransportEnergyCons!$C$3:$C$1000))*1,[1]OUT_TransportEnergyCons!F$3:F$1000)</f>
        <v>0.37187776504816394</v>
      </c>
      <c r="I1419" s="1" cm="1">
        <f t="array" ref="I1419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SUMPRODUCT(("T_B_c-ICEDSL-S1"=[1]OUT_TransportEnergyCons!$A$3:$A$1000)*1,("Var_Fin"=[1]OUT_TransportEnergyCons!$B$3:$B$1000)*1,ISNUMBER(SEARCH("DSL",[1]OUT_TransportEnergyCons!$C$3:$C$1000))*1,[1]OUT_TransportEnergyCons!H$3:H$1000)</f>
        <v>1.0410830351007674E-5</v>
      </c>
      <c r="K1419" s="1" cm="1">
        <f t="array" ref="K1419">SUMPRODUCT(("T_B_c-ICEDSL-S1"=[1]OUT_TransportEnergyCons!$A$3:$A$1000)*1,("Var_Fin"=[1]OUT_TransportEnergyCons!$B$3:$B$1000)*1,ISNUMBER(SEARCH("DSL",[1]OUT_TransportEnergyCons!$C$3:$C$1000))*1,[1]OUT_TransportEnergyCons!I$3:I$1000)</f>
        <v>1.7746850302531062E-6</v>
      </c>
    </row>
    <row r="1420" spans="2:11" x14ac:dyDescent="0.35">
      <c r="B1420" s="5" t="str">
        <f t="shared" si="833"/>
        <v>SPS3</v>
      </c>
      <c r="C1420" s="5" t="str">
        <f t="shared" si="845"/>
        <v>CH</v>
      </c>
      <c r="D1420" t="s">
        <v>1417</v>
      </c>
      <c r="E1420" t="s">
        <v>8</v>
      </c>
      <c r="F1420" s="1" cm="1">
        <f t="array" ref="F1420">SUMPRODUCT(("T_B_c-ICEDSL-S2"=[1]OUT_TransportEnergyCons!$A$3:$A$1000)*1,("Var_Fin"=[1]OUT_TransportEnergyCons!$B$3:$B$1000)*1,ISNUMBER(SEARCH("DSL",[1]OUT_TransportEnergyCons!$C$3:$C$1000))*1,[1]OUT_TransportEnergyCons!D$3:D$1000)</f>
        <v>0.51881379203677647</v>
      </c>
      <c r="G1420" s="1" cm="1">
        <f t="array" ref="G1420">SUMPRODUCT(("T_B_c-ICEDSL-S2"=[1]OUT_TransportEnergyCons!$A$3:$A$1000)*1,("Var_Fin"=[1]OUT_TransportEnergyCons!$B$3:$B$1000)*1,ISNUMBER(SEARCH("DSL",[1]OUT_TransportEnergyCons!$C$3:$C$1000))*1,[1]OUT_TransportEnergyCons!E$3:E$1000)</f>
        <v>0.39845793960578013</v>
      </c>
      <c r="H1420" s="1" cm="1">
        <f t="array" ref="H1420">SUMPRODUCT(("T_B_c-ICEDSL-S2"=[1]OUT_TransportEnergyCons!$A$3:$A$1000)*1,("Var_Fin"=[1]OUT_TransportEnergyCons!$B$3:$B$1000)*1,ISNUMBER(SEARCH("DSL",[1]OUT_TransportEnergyCons!$C$3:$C$1000))*1,[1]OUT_TransportEnergyCons!F$3:F$1000)</f>
        <v>0.46202514174917592</v>
      </c>
      <c r="I1420" s="1" cm="1">
        <f t="array" ref="I1420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SUMPRODUCT(("T_B_c-ICEDSL-S2"=[1]OUT_TransportEnergyCons!$A$3:$A$1000)*1,("Var_Fin"=[1]OUT_TransportEnergyCons!$B$3:$B$1000)*1,ISNUMBER(SEARCH("DSL",[1]OUT_TransportEnergyCons!$C$3:$C$1000))*1,[1]OUT_TransportEnergyCons!H$3:H$1000)</f>
        <v>2.1523263376630398E-5</v>
      </c>
      <c r="K1420" s="1" cm="1">
        <f t="array" ref="K1420">SUMPRODUCT(("T_B_c-ICEDSL-S2"=[1]OUT_TransportEnergyCons!$A$3:$A$1000)*1,("Var_Fin"=[1]OUT_TransportEnergyCons!$B$3:$B$1000)*1,ISNUMBER(SEARCH("DSL",[1]OUT_TransportEnergyCons!$C$3:$C$1000))*1,[1]OUT_TransportEnergyCons!I$3:I$1000)</f>
        <v>0</v>
      </c>
    </row>
    <row r="1421" spans="2:11" x14ac:dyDescent="0.35">
      <c r="B1421" s="5" t="str">
        <f t="shared" si="833"/>
        <v>SPS3</v>
      </c>
      <c r="C1421" s="5" t="str">
        <f t="shared" si="845"/>
        <v>CH</v>
      </c>
      <c r="D1421" t="s">
        <v>1418</v>
      </c>
      <c r="E1421" t="s">
        <v>8</v>
      </c>
      <c r="F1421" s="1" cm="1">
        <f t="array" ref="F1421">SUMPRODUCT(("T_B_c-ICEDSL-S3"=[1]OUT_TransportEnergyCons!$A$3:$A$1000)*1,("Var_Fin"=[1]OUT_TransportEnergyCons!$B$3:$B$1000)*1,ISNUMBER(SEARCH("DSL",[1]OUT_TransportEnergyCons!$C$3:$C$1000))*1,[1]OUT_TransportEnergyCons!D$3:D$1000)</f>
        <v>0.16041398239863755</v>
      </c>
      <c r="G1421" s="1" cm="1">
        <f t="array" ref="G1421">SUMPRODUCT(("T_B_c-ICEDSL-S3"=[1]OUT_TransportEnergyCons!$A$3:$A$1000)*1,("Var_Fin"=[1]OUT_TransportEnergyCons!$B$3:$B$1000)*1,ISNUMBER(SEARCH("DSL",[1]OUT_TransportEnergyCons!$C$3:$C$1000))*1,[1]OUT_TransportEnergyCons!E$3:E$1000)</f>
        <v>0.1271853816769461</v>
      </c>
      <c r="H1421" s="1" cm="1">
        <f t="array" ref="H1421">SUMPRODUCT(("T_B_c-ICEDSL-S3"=[1]OUT_TransportEnergyCons!$A$3:$A$1000)*1,("Var_Fin"=[1]OUT_TransportEnergyCons!$B$3:$B$1000)*1,ISNUMBER(SEARCH("DSL",[1]OUT_TransportEnergyCons!$C$3:$C$1000))*1,[1]OUT_TransportEnergyCons!F$3:F$1000)</f>
        <v>0.14336947926794386</v>
      </c>
      <c r="I1421" s="1" cm="1">
        <f t="array" ref="I1421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SUMPRODUCT(("T_B_c-ICEDSL-S3"=[1]OUT_TransportEnergyCons!$A$3:$A$1000)*1,("Var_Fin"=[1]OUT_TransportEnergyCons!$B$3:$B$1000)*1,ISNUMBER(SEARCH("DSL",[1]OUT_TransportEnergyCons!$C$3:$C$1000))*1,[1]OUT_TransportEnergyCons!H$3:H$1000)</f>
        <v>1.4900936361136758E-5</v>
      </c>
      <c r="K1421" s="1" cm="1">
        <f t="array" ref="K1421">SUMPRODUCT(("T_B_c-ICEDSL-S3"=[1]OUT_TransportEnergyCons!$A$3:$A$1000)*1,("Var_Fin"=[1]OUT_TransportEnergyCons!$B$3:$B$1000)*1,ISNUMBER(SEARCH("DSL",[1]OUT_TransportEnergyCons!$C$3:$C$1000))*1,[1]OUT_TransportEnergyCons!I$3:I$1000)</f>
        <v>0</v>
      </c>
    </row>
    <row r="1422" spans="2:11" x14ac:dyDescent="0.35">
      <c r="B1422" s="5" t="str">
        <f t="shared" si="833"/>
        <v>SPS3</v>
      </c>
      <c r="C1422" s="5" t="str">
        <f t="shared" si="845"/>
        <v>CH</v>
      </c>
      <c r="D1422" t="s">
        <v>1419</v>
      </c>
      <c r="E1422" t="s">
        <v>8</v>
      </c>
      <c r="F1422" s="1" cm="1">
        <f t="array" ref="F1422">SUMPRODUCT(("T_B_c-ICEDSL-S4"=[1]OUT_TransportEnergyCons!$A$3:$A$1000)*1,("Var_Fin"=[1]OUT_TransportEnergyCons!$B$3:$B$1000)*1,ISNUMBER(SEARCH("DSL",[1]OUT_TransportEnergyCons!$C$3:$C$1000))*1,[1]OUT_TransportEnergyCons!D$3:D$1000)</f>
        <v>1.5710621781393382E-2</v>
      </c>
      <c r="G1422" s="1" cm="1">
        <f t="array" ref="G1422">SUMPRODUCT(("T_B_c-ICEDSL-S4"=[1]OUT_TransportEnergyCons!$A$3:$A$1000)*1,("Var_Fin"=[1]OUT_TransportEnergyCons!$B$3:$B$1000)*1,ISNUMBER(SEARCH("DSL",[1]OUT_TransportEnergyCons!$C$3:$C$1000))*1,[1]OUT_TransportEnergyCons!E$3:E$1000)</f>
        <v>9.0626152161893078E-4</v>
      </c>
      <c r="H1422" s="1" cm="1">
        <f t="array" ref="H1422">SUMPRODUCT(("T_B_c-ICEDSL-S4"=[1]OUT_TransportEnergyCons!$A$3:$A$1000)*1,("Var_Fin"=[1]OUT_TransportEnergyCons!$B$3:$B$1000)*1,ISNUMBER(SEARCH("DSL",[1]OUT_TransportEnergyCons!$C$3:$C$1000))*1,[1]OUT_TransportEnergyCons!F$3:F$1000)</f>
        <v>1.1498297640567799E-3</v>
      </c>
      <c r="I1422" s="1" cm="1">
        <f t="array" ref="I1422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SUMPRODUCT(("T_B_c-ICEDSL-S4"=[1]OUT_TransportEnergyCons!$A$3:$A$1000)*1,("Var_Fin"=[1]OUT_TransportEnergyCons!$B$3:$B$1000)*1,ISNUMBER(SEARCH("DSL",[1]OUT_TransportEnergyCons!$C$3:$C$1000))*1,[1]OUT_TransportEnergyCons!H$3:H$1000)</f>
        <v>2.6229799260996102E-6</v>
      </c>
      <c r="K1422" s="1" cm="1">
        <f t="array" ref="K1422">SUMPRODUCT(("T_B_c-ICEDSL-S4"=[1]OUT_TransportEnergyCons!$A$3:$A$1000)*1,("Var_Fin"=[1]OUT_TransportEnergyCons!$B$3:$B$1000)*1,ISNUMBER(SEARCH("DSL",[1]OUT_TransportEnergyCons!$C$3:$C$1000))*1,[1]OUT_TransportEnergyCons!I$3:I$1000)</f>
        <v>0</v>
      </c>
    </row>
    <row r="1423" spans="2:11" x14ac:dyDescent="0.35">
      <c r="B1423" s="5" t="str">
        <f t="shared" si="833"/>
        <v>SPS3</v>
      </c>
      <c r="C1423" s="5" t="str">
        <f t="shared" si="845"/>
        <v>CH</v>
      </c>
      <c r="D1423" t="s">
        <v>1420</v>
      </c>
      <c r="E1423" t="s">
        <v>8</v>
      </c>
      <c r="F1423" s="1">
        <f>SUM(F1428:F1432)</f>
        <v>1.3807700171965126E-4</v>
      </c>
      <c r="G1423" s="1">
        <f t="shared" ref="G1423" si="862">SUM(G1428:G1432)</f>
        <v>3.3538312273796961E-4</v>
      </c>
      <c r="H1423" s="1">
        <f t="shared" ref="H1423" si="863">SUM(H1428:H1432)</f>
        <v>2.4330234632572137E-3</v>
      </c>
      <c r="I1423" s="1">
        <f t="shared" ref="I1423" si="864">SUM(I1428:I1432)</f>
        <v>3.1321796887772326E-6</v>
      </c>
      <c r="J1423" s="1">
        <f t="shared" ref="J1423" si="865">SUM(J1428:J1432)</f>
        <v>9.0744813625939297E-5</v>
      </c>
      <c r="K1423" s="1">
        <f t="shared" ref="K1423" si="866">SUM(K1428:K1432)</f>
        <v>4.1779596363037614E-6</v>
      </c>
    </row>
    <row r="1424" spans="2:11" x14ac:dyDescent="0.35">
      <c r="B1424" s="5" t="str">
        <f t="shared" si="833"/>
        <v>SPS3</v>
      </c>
      <c r="C1424" s="5" t="str">
        <f t="shared" si="845"/>
        <v>CH</v>
      </c>
      <c r="D1424" t="s">
        <v>1421</v>
      </c>
      <c r="E1424" t="s">
        <v>8</v>
      </c>
      <c r="F1424" s="1">
        <f>F1423-F1425</f>
        <v>1.2737390931462632E-4</v>
      </c>
      <c r="G1424" s="1">
        <f t="shared" ref="G1424" si="867">G1423-G1425</f>
        <v>3.0165497762482039E-4</v>
      </c>
      <c r="H1424" s="1">
        <f t="shared" ref="H1424" si="868">H1423-H1425</f>
        <v>2.2259202370698179E-3</v>
      </c>
      <c r="I1424" s="1">
        <f t="shared" ref="I1424" si="869">I1423-I1425</f>
        <v>2.9563515736693519E-6</v>
      </c>
      <c r="J1424" s="1">
        <f t="shared" ref="J1424" si="870">J1423-J1425</f>
        <v>-1.7688736157248291E-2</v>
      </c>
      <c r="K1424" s="1">
        <f t="shared" ref="K1424" si="871">K1423-K1425</f>
        <v>-9.4328713410934961E-4</v>
      </c>
    </row>
    <row r="1425" spans="2:11" x14ac:dyDescent="0.35">
      <c r="B1425" s="5" t="str">
        <f t="shared" si="833"/>
        <v>SPS3</v>
      </c>
      <c r="C1425" s="5" t="str">
        <f t="shared" si="845"/>
        <v>CH</v>
      </c>
      <c r="D1425" t="s">
        <v>1422</v>
      </c>
      <c r="E1425" t="s">
        <v>8</v>
      </c>
      <c r="F1425" s="1">
        <f>SUM(F1426:F1427)</f>
        <v>1.0703092405024949E-5</v>
      </c>
      <c r="G1425" s="1">
        <f t="shared" ref="G1425" si="872">SUM(G1426:G1427)</f>
        <v>3.3728145113149219E-5</v>
      </c>
      <c r="H1425" s="1">
        <f t="shared" ref="H1425" si="873">SUM(H1426:H1427)</f>
        <v>2.0710322618739573E-4</v>
      </c>
      <c r="I1425" s="1">
        <f t="shared" ref="I1425" si="874">SUM(I1426:I1427)</f>
        <v>1.7582811510788095E-7</v>
      </c>
      <c r="J1425" s="1">
        <f t="shared" ref="J1425" si="875">SUM(J1426:J1427)</f>
        <v>1.7779480970874229E-2</v>
      </c>
      <c r="K1425" s="1">
        <f t="shared" ref="K1425" si="876">SUM(K1426:K1427)</f>
        <v>9.4746509374565337E-4</v>
      </c>
    </row>
    <row r="1426" spans="2:11" x14ac:dyDescent="0.35">
      <c r="B1426" s="5" t="str">
        <f t="shared" si="833"/>
        <v>SPS3</v>
      </c>
      <c r="C1426" s="5" t="str">
        <f t="shared" si="845"/>
        <v>CH</v>
      </c>
      <c r="D1426" t="s">
        <v>1423</v>
      </c>
      <c r="E1426" t="s">
        <v>8</v>
      </c>
      <c r="F1426" s="1">
        <f>[1]Transport!B$27/SUM([1]Transport!B$24,[1]Transport!B$27)*F1423*(F$45+F$612)/(F$45+F$612+F$47)</f>
        <v>1.0703092405024949E-5</v>
      </c>
      <c r="G1426" s="1">
        <f>[1]Transport!C$27/SUM([1]Transport!C$24,[1]Transport!C$27)*G1423*(G$45+G$612)/(G$45+G$612+G$47)</f>
        <v>3.3728145113149219E-5</v>
      </c>
      <c r="H1426" s="1">
        <f>[1]Transport!D$27/SUM([1]Transport!D$24,[1]Transport!D$27)*H1423*(H$45+H$612)/(H$45+H$612+H$47)</f>
        <v>2.0710322618739573E-4</v>
      </c>
      <c r="I1426" s="1">
        <f>[1]Transport!E$27/SUM([1]Transport!E$24,[1]Transport!E$27)*I1423*(I$45+I$612)/(I$45+I$612+I$47)</f>
        <v>1.7582811510788095E-7</v>
      </c>
      <c r="J1426" s="1">
        <f>[1]Transport!F$27/SUM([1]Transport!F$24,[1]Transport!F$27)*J1423*(J$45+J$612)/(J$45+J$612+J$47)</f>
        <v>2.8504137836620508E-5</v>
      </c>
      <c r="K1426" s="1">
        <f>[1]Transport!G$27/SUM([1]Transport!G$24,[1]Transport!G$27)*K1423*(K$45+K$612)/(K$45+K$612+K$47)</f>
        <v>2.2307774087335387E-6</v>
      </c>
    </row>
    <row r="1427" spans="2:11" x14ac:dyDescent="0.35">
      <c r="B1427" s="5" t="str">
        <f t="shared" si="833"/>
        <v>SPS3</v>
      </c>
      <c r="C1427" s="5" t="str">
        <f t="shared" si="845"/>
        <v>CH</v>
      </c>
      <c r="D1427" t="s">
        <v>1424</v>
      </c>
      <c r="E1427" t="s">
        <v>8</v>
      </c>
      <c r="F1427" s="1">
        <f>(F$47+F$714)/([1]Transport!B$24+[1]Transport!B$27)*F1423</f>
        <v>0</v>
      </c>
      <c r="G1427" s="1">
        <f>(G$47+G$714)/([1]Transport!C$24+[1]Transport!C$27)*G1423</f>
        <v>0</v>
      </c>
      <c r="H1427" s="1">
        <f>(H$47+H$714)/([1]Transport!D$24+[1]Transport!D$27)*H1423</f>
        <v>0</v>
      </c>
      <c r="I1427" s="1">
        <f>(I$47+I$714)/([1]Transport!E$24+[1]Transport!E$27)*I1423</f>
        <v>0</v>
      </c>
      <c r="J1427" s="1">
        <f>(J$47+J$714)/([1]Transport!F$24+[1]Transport!F$27)*J1423</f>
        <v>1.7750976833037609E-2</v>
      </c>
      <c r="K1427" s="1">
        <f>(K$47+K$714)/([1]Transport!G$24+[1]Transport!G$27)*K1423</f>
        <v>9.4523431633691986E-4</v>
      </c>
    </row>
    <row r="1428" spans="2:11" x14ac:dyDescent="0.35">
      <c r="B1428" s="5" t="str">
        <f t="shared" si="833"/>
        <v>SPS3</v>
      </c>
      <c r="C1428" s="5" t="str">
        <f t="shared" si="845"/>
        <v>CH</v>
      </c>
      <c r="D1428" t="s">
        <v>2119</v>
      </c>
      <c r="E1428" t="s">
        <v>8</v>
      </c>
      <c r="F1428" s="1" cm="1">
        <f t="array" ref="F1428">SUMPRODUCT(("T_B_c-ICEngaEXT"=[1]OUT_TransportEnergyCons!$A$3:$A$1000)*1,("Var_Fin"=[1]OUT_TransportEnergyCons!$B$3:$B$1000)*1,ISNUMBER(SEARCH("nga",[1]OUT_TransportEnergyCons!$C$3:$C$1000))*1,[1]OUT_TransportEnergyCons!D$3:D$1000)</f>
        <v>1.3807700171965126E-4</v>
      </c>
      <c r="G1428" s="1" cm="1">
        <f t="array" ref="G1428">SUMPRODUCT(("T_B_c-ICEngaEXT"=[1]OUT_TransportEnergyCons!$A$3:$A$1000)*1,("Var_Fin"=[1]OUT_TransportEnergyCons!$B$3:$B$1000)*1,ISNUMBER(SEARCH("nga",[1]OUT_TransportEnergyCons!$C$3:$C$1000))*1,[1]OUT_TransportEnergyCons!E$3:E$1000)</f>
        <v>1.3974292983401343E-4</v>
      </c>
      <c r="H1428" s="1" cm="1">
        <f t="array" ref="H1428">SUMPRODUCT(("T_B_c-ICEngaEXT"=[1]OUT_TransportEnergyCons!$A$3:$A$1000)*1,("Var_Fin"=[1]OUT_TransportEnergyCons!$B$3:$B$1000)*1,ISNUMBER(SEARCH("nga",[1]OUT_TransportEnergyCons!$C$3:$C$1000))*1,[1]OUT_TransportEnergyCons!F$3:F$1000)</f>
        <v>1.3807326063762759E-4</v>
      </c>
      <c r="I1428" s="1" cm="1">
        <f t="array" ref="I1428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28" s="1" cm="1">
        <f t="array" ref="J1428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28" s="1" cm="1">
        <f t="array" ref="K1428">SUMPRODUCT(("T_B_c-ICEngaEXT"=[1]OUT_TransportEnergyCons!$A$3:$A$1000)*1,("Var_Fin"=[1]OUT_TransportEnergyCons!$B$3:$B$1000)*1,ISNUMBER(SEARCH("nga",[1]OUT_TransportEnergyCons!$C$3:$C$1000))*1,[1]OUT_TransportEnergyCons!I$3:I$1000)</f>
        <v>0</v>
      </c>
    </row>
    <row r="1429" spans="2:11" x14ac:dyDescent="0.35">
      <c r="B1429" s="5" t="str">
        <f t="shared" si="833"/>
        <v>SPS3</v>
      </c>
      <c r="C1429" s="5" t="str">
        <f t="shared" si="845"/>
        <v>CH</v>
      </c>
      <c r="D1429" t="s">
        <v>1425</v>
      </c>
      <c r="E1429" t="s">
        <v>8</v>
      </c>
      <c r="F1429" s="1" cm="1">
        <f t="array" ref="F1429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29" s="1" cm="1">
        <f t="array" ref="G1429">SUMPRODUCT(("T_B_c-ICEnga-S1"=[1]OUT_TransportEnergyCons!$A$3:$A$1000)*1,("Var_Fin"=[1]OUT_TransportEnergyCons!$B$3:$B$1000)*1,ISNUMBER(SEARCH("nga",[1]OUT_TransportEnergyCons!$C$3:$C$1000))*1,[1]OUT_TransportEnergyCons!E$3:E$1000)</f>
        <v>7.7572801601668583E-5</v>
      </c>
      <c r="H1429" s="1" cm="1">
        <f t="array" ref="H1429">SUMPRODUCT(("T_B_c-ICEnga-S1"=[1]OUT_TransportEnergyCons!$A$3:$A$1000)*1,("Var_Fin"=[1]OUT_TransportEnergyCons!$B$3:$B$1000)*1,ISNUMBER(SEARCH("nga",[1]OUT_TransportEnergyCons!$C$3:$C$1000))*1,[1]OUT_TransportEnergyCons!F$3:F$1000)</f>
        <v>7.7624890717611363E-4</v>
      </c>
      <c r="I1429" s="1" cm="1">
        <f t="array" ref="I1429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29" s="1" cm="1">
        <f t="array" ref="J1429">SUMPRODUCT(("T_B_c-ICEnga-S1"=[1]OUT_TransportEnergyCons!$A$3:$A$1000)*1,("Var_Fin"=[1]OUT_TransportEnergyCons!$B$3:$B$1000)*1,ISNUMBER(SEARCH("nga",[1]OUT_TransportEnergyCons!$C$3:$C$1000))*1,[1]OUT_TransportEnergyCons!H$3:H$1000)</f>
        <v>1.2936673521371172E-5</v>
      </c>
      <c r="K1429" s="1" cm="1">
        <f t="array" ref="K1429">SUMPRODUCT(("T_B_c-ICEnga-S1"=[1]OUT_TransportEnergyCons!$A$3:$A$1000)*1,("Var_Fin"=[1]OUT_TransportEnergyCons!$B$3:$B$1000)*1,ISNUMBER(SEARCH("nga",[1]OUT_TransportEnergyCons!$C$3:$C$1000))*1,[1]OUT_TransportEnergyCons!I$3:I$1000)</f>
        <v>4.1779596363037614E-6</v>
      </c>
    </row>
    <row r="1430" spans="2:11" x14ac:dyDescent="0.35">
      <c r="B1430" s="5" t="str">
        <f t="shared" si="833"/>
        <v>SPS3</v>
      </c>
      <c r="C1430" s="5" t="str">
        <f t="shared" si="845"/>
        <v>CH</v>
      </c>
      <c r="D1430" t="s">
        <v>1426</v>
      </c>
      <c r="E1430" t="s">
        <v>8</v>
      </c>
      <c r="F1430" s="1" cm="1">
        <f t="array" ref="F1430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0" s="1" cm="1">
        <f t="array" ref="G1430">SUMPRODUCT(("T_B_c-ICEnga-S2"=[1]OUT_TransportEnergyCons!$A$3:$A$1000)*1,("Var_Fin"=[1]OUT_TransportEnergyCons!$B$3:$B$1000)*1,ISNUMBER(SEARCH("nga",[1]OUT_TransportEnergyCons!$C$3:$C$1000))*1,[1]OUT_TransportEnergyCons!E$3:E$1000)</f>
        <v>6.3979984929986519E-5</v>
      </c>
      <c r="H1430" s="1" cm="1">
        <f t="array" ref="H1430">SUMPRODUCT(("T_B_c-ICEnga-S2"=[1]OUT_TransportEnergyCons!$A$3:$A$1000)*1,("Var_Fin"=[1]OUT_TransportEnergyCons!$B$3:$B$1000)*1,ISNUMBER(SEARCH("nga",[1]OUT_TransportEnergyCons!$C$3:$C$1000))*1,[1]OUT_TransportEnergyCons!F$3:F$1000)</f>
        <v>8.873041899714664E-4</v>
      </c>
      <c r="I1430" s="1" cm="1">
        <f t="array" ref="I1430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SUMPRODUCT(("T_B_c-ICEnga-S2"=[1]OUT_TransportEnergyCons!$A$3:$A$1000)*1,("Var_Fin"=[1]OUT_TransportEnergyCons!$B$3:$B$1000)*1,ISNUMBER(SEARCH("nga",[1]OUT_TransportEnergyCons!$C$3:$C$1000))*1,[1]OUT_TransportEnergyCons!H$3:H$1000)</f>
        <v>1.4733708892807895E-5</v>
      </c>
      <c r="K1430" s="1" cm="1">
        <f t="array" ref="K1430">SUMPRODUCT(("T_B_c-ICEnga-S2"=[1]OUT_TransportEnergyCons!$A$3:$A$1000)*1,("Var_Fin"=[1]OUT_TransportEnergyCons!$B$3:$B$1000)*1,ISNUMBER(SEARCH("nga",[1]OUT_TransportEnergyCons!$C$3:$C$1000))*1,[1]OUT_TransportEnergyCons!I$3:I$1000)</f>
        <v>0</v>
      </c>
    </row>
    <row r="1431" spans="2:11" x14ac:dyDescent="0.35">
      <c r="B1431" s="5" t="str">
        <f t="shared" si="833"/>
        <v>SPS3</v>
      </c>
      <c r="C1431" s="5" t="str">
        <f t="shared" si="845"/>
        <v>CH</v>
      </c>
      <c r="D1431" t="s">
        <v>1427</v>
      </c>
      <c r="E1431" t="s">
        <v>8</v>
      </c>
      <c r="F1431" s="1" cm="1">
        <f t="array" ref="F1431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SUMPRODUCT(("T_B_c-ICEnga-S3"=[1]OUT_TransportEnergyCons!$A$3:$A$1000)*1,("Var_Fin"=[1]OUT_TransportEnergyCons!$B$3:$B$1000)*1,ISNUMBER(SEARCH("nga",[1]OUT_TransportEnergyCons!$C$3:$C$1000))*1,[1]OUT_TransportEnergyCons!E$3:E$1000)</f>
        <v>5.0330481052841259E-5</v>
      </c>
      <c r="H1431" s="1" cm="1">
        <f t="array" ref="H1431">SUMPRODUCT(("T_B_c-ICEnga-S3"=[1]OUT_TransportEnergyCons!$A$3:$A$1000)*1,("Var_Fin"=[1]OUT_TransportEnergyCons!$B$3:$B$1000)*1,ISNUMBER(SEARCH("nga",[1]OUT_TransportEnergyCons!$C$3:$C$1000))*1,[1]OUT_TransportEnergyCons!F$3:F$1000)</f>
        <v>5.1497928774371193E-4</v>
      </c>
      <c r="I1431" s="1" cm="1">
        <f t="array" ref="I1431">SUMPRODUCT(("T_B_c-ICEnga-S3"=[1]OUT_TransportEnergyCons!$A$3:$A$1000)*1,("Var_Fin"=[1]OUT_TransportEnergyCons!$B$3:$B$1000)*1,ISNUMBER(SEARCH("nga",[1]OUT_TransportEnergyCons!$C$3:$C$1000))*1,[1]OUT_TransportEnergyCons!G$3:G$1000)</f>
        <v>3.1321796887772326E-6</v>
      </c>
      <c r="J1431" s="1" cm="1">
        <f t="array" ref="J1431">SUMPRODUCT(("T_B_c-ICEnga-S3"=[1]OUT_TransportEnergyCons!$A$3:$A$1000)*1,("Var_Fin"=[1]OUT_TransportEnergyCons!$B$3:$B$1000)*1,ISNUMBER(SEARCH("nga",[1]OUT_TransportEnergyCons!$C$3:$C$1000))*1,[1]OUT_TransportEnergyCons!H$3:H$1000)</f>
        <v>1.7527940032532853E-5</v>
      </c>
      <c r="K1431" s="1" cm="1">
        <f t="array" ref="K1431">SUMPRODUCT(("T_B_c-ICEnga-S3"=[1]OUT_TransportEnergyCons!$A$3:$A$1000)*1,("Var_Fin"=[1]OUT_TransportEnergyCons!$B$3:$B$1000)*1,ISNUMBER(SEARCH("nga",[1]OUT_TransportEnergyCons!$C$3:$C$1000))*1,[1]OUT_TransportEnergyCons!I$3:I$1000)</f>
        <v>0</v>
      </c>
    </row>
    <row r="1432" spans="2:11" x14ac:dyDescent="0.35">
      <c r="B1432" s="5" t="str">
        <f t="shared" si="833"/>
        <v>SPS3</v>
      </c>
      <c r="C1432" s="5" t="str">
        <f t="shared" si="845"/>
        <v>CH</v>
      </c>
      <c r="D1432" t="s">
        <v>1428</v>
      </c>
      <c r="E1432" t="s">
        <v>8</v>
      </c>
      <c r="F1432" s="1" cm="1">
        <f t="array" ref="F1432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SUMPRODUCT(("T_B_c-ICEnga-S4"=[1]OUT_TransportEnergyCons!$A$3:$A$1000)*1,("Var_Fin"=[1]OUT_TransportEnergyCons!$B$3:$B$1000)*1,ISNUMBER(SEARCH("nga",[1]OUT_TransportEnergyCons!$C$3:$C$1000))*1,[1]OUT_TransportEnergyCons!E$3:E$1000)</f>
        <v>3.7569253194598271E-6</v>
      </c>
      <c r="H1432" s="1" cm="1">
        <f t="array" ref="H1432">SUMPRODUCT(("T_B_c-ICEnga-S4"=[1]OUT_TransportEnergyCons!$A$3:$A$1000)*1,("Var_Fin"=[1]OUT_TransportEnergyCons!$B$3:$B$1000)*1,ISNUMBER(SEARCH("nga",[1]OUT_TransportEnergyCons!$C$3:$C$1000))*1,[1]OUT_TransportEnergyCons!F$3:F$1000)</f>
        <v>1.1641781772829424E-4</v>
      </c>
      <c r="I1432" s="1" cm="1">
        <f t="array" ref="I1432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SUMPRODUCT(("T_B_c-ICEnga-S4"=[1]OUT_TransportEnergyCons!$A$3:$A$1000)*1,("Var_Fin"=[1]OUT_TransportEnergyCons!$B$3:$B$1000)*1,ISNUMBER(SEARCH("nga",[1]OUT_TransportEnergyCons!$C$3:$C$1000))*1,[1]OUT_TransportEnergyCons!H$3:H$1000)</f>
        <v>4.5546491179227378E-5</v>
      </c>
      <c r="K1432" s="1" cm="1">
        <f t="array" ref="K1432">SUMPRODUCT(("T_B_c-ICEnga-S4"=[1]OUT_TransportEnergyCons!$A$3:$A$1000)*1,("Var_Fin"=[1]OUT_TransportEnergyCons!$B$3:$B$1000)*1,ISNUMBER(SEARCH("nga",[1]OUT_TransportEnergyCons!$C$3:$C$1000))*1,[1]OUT_TransportEnergyCons!I$3:I$1000)</f>
        <v>0</v>
      </c>
    </row>
    <row r="1433" spans="2:11" x14ac:dyDescent="0.35">
      <c r="B1433" s="5" t="str">
        <f t="shared" si="833"/>
        <v>SPS3</v>
      </c>
      <c r="C1433" s="5" t="str">
        <f>C1432</f>
        <v>CH</v>
      </c>
      <c r="D1433" s="2" t="s">
        <v>1393</v>
      </c>
      <c r="E1433" s="2" t="s">
        <v>1132</v>
      </c>
      <c r="F1433" s="3">
        <f>SUM(F1434:F1456)</f>
        <v>0.13103768642465558</v>
      </c>
      <c r="G1433" s="3">
        <f t="shared" ref="G1433" si="877">SUM(G1434:G1456)</f>
        <v>0.13168068141966577</v>
      </c>
      <c r="H1433" s="3">
        <f t="shared" ref="H1433" si="878">SUM(H1434:H1456)</f>
        <v>0.13272728538377071</v>
      </c>
      <c r="I1433" s="3">
        <f t="shared" ref="I1433" si="879">SUM(I1434:I1456)</f>
        <v>0.13442125015895245</v>
      </c>
      <c r="J1433" s="3">
        <f t="shared" ref="J1433" si="880">SUM(J1434:J1456)</f>
        <v>0.13473614222089741</v>
      </c>
      <c r="K1433" s="3">
        <f t="shared" ref="K1433" si="881">SUM(K1434:K1456)</f>
        <v>0.13113892185166764</v>
      </c>
    </row>
    <row r="1434" spans="2:11" x14ac:dyDescent="0.35">
      <c r="B1434" s="5" t="str">
        <f t="shared" si="833"/>
        <v>SPS3</v>
      </c>
      <c r="C1434" s="5" t="str">
        <f>C1433</f>
        <v>CH</v>
      </c>
      <c r="D1434" t="s">
        <v>1429</v>
      </c>
      <c r="E1434" t="str">
        <f>E1433</f>
        <v>billion km/yr.</v>
      </c>
      <c r="F1434" s="1" cm="1">
        <f t="array" ref="F1434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4" s="1" cm="1">
        <f t="array" ref="G1434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4" s="1" cm="1">
        <f t="array" ref="H1434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4" s="1" cm="1">
        <f t="array" ref="I1434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4" s="1" cm="1">
        <f t="array" ref="J1434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4" s="1" cm="1">
        <f t="array" ref="K1434">SUMPRODUCT(("T_B_c-BeVELCEXT"=[1]OUT_TransportEnergyCons!$A$3:$A$1000)*1,("var_fout"=[1]OUT_TransportEnergyCons!$B$3:$B$1000)*1,ISNUMBER(SEARCH("TPBSc",[1]OUT_TransportEnergyCons!$C$3:$C$1000))*1,[1]OUT_TransportEnergyCons!I$3:I$1000)</f>
        <v>0</v>
      </c>
    </row>
    <row r="1435" spans="2:11" x14ac:dyDescent="0.35">
      <c r="B1435" s="5" t="str">
        <f t="shared" si="833"/>
        <v>SPS3</v>
      </c>
      <c r="C1435" s="5" t="str">
        <f t="shared" ref="C1435:C1456" si="882">C1434</f>
        <v>CH</v>
      </c>
      <c r="D1435" t="s">
        <v>1430</v>
      </c>
      <c r="E1435" t="str">
        <f t="shared" ref="E1435:E1456" si="883">E1434</f>
        <v>billion km/yr.</v>
      </c>
      <c r="F1435" s="1" cm="1">
        <f t="array" ref="F1435">SUMPRODUCT(("T_B_c-BEVELC-S1"=[1]OUT_TransportEnergyCons!$A$3:$A$1000)*1,("var_fout"=[1]OUT_TransportEnergyCons!$B$3:$B$1000)*1,ISNUMBER(SEARCH("TPBSc",[1]OUT_TransportEnergyCons!$C$3:$C$1000))*1,[1]OUT_TransportEnergyCons!D$3:D$1000)</f>
        <v>1.3433429464047037E-4</v>
      </c>
      <c r="G1435" s="1" cm="1">
        <f t="array" ref="G1435">SUMPRODUCT(("T_B_c-BEVELC-S1"=[1]OUT_TransportEnergyCons!$A$3:$A$1000)*1,("var_fout"=[1]OUT_TransportEnergyCons!$B$3:$B$1000)*1,ISNUMBER(SEARCH("TPBSc",[1]OUT_TransportEnergyCons!$C$3:$C$1000))*1,[1]OUT_TransportEnergyCons!E$3:E$1000)</f>
        <v>2.2402265978071627E-4</v>
      </c>
      <c r="H1435" s="1" cm="1">
        <f t="array" ref="H1435">SUMPRODUCT(("T_B_c-BEVELC-S1"=[1]OUT_TransportEnergyCons!$A$3:$A$1000)*1,("var_fout"=[1]OUT_TransportEnergyCons!$B$3:$B$1000)*1,ISNUMBER(SEARCH("TPBSc",[1]OUT_TransportEnergyCons!$C$3:$C$1000))*1,[1]OUT_TransportEnergyCons!F$3:F$1000)</f>
        <v>4.6084825246025737E-4</v>
      </c>
      <c r="I1435" s="1" cm="1">
        <f t="array" ref="I1435">SUMPRODUCT(("T_B_c-BEVELC-S1"=[1]OUT_TransportEnergyCons!$A$3:$A$1000)*1,("var_fout"=[1]OUT_TransportEnergyCons!$B$3:$B$1000)*1,ISNUMBER(SEARCH("TPBSc",[1]OUT_TransportEnergyCons!$C$3:$C$1000))*1,[1]OUT_TransportEnergyCons!G$3:G$1000)</f>
        <v>6.4502319799736599E-2</v>
      </c>
      <c r="J1435" s="1" cm="1">
        <f t="array" ref="J1435">SUMPRODUCT(("T_B_c-BEVELC-S1"=[1]OUT_TransportEnergyCons!$A$3:$A$1000)*1,("var_fout"=[1]OUT_TransportEnergyCons!$B$3:$B$1000)*1,ISNUMBER(SEARCH("TPBSc",[1]OUT_TransportEnergyCons!$C$3:$C$1000))*1,[1]OUT_TransportEnergyCons!H$3:H$1000)</f>
        <v>5.2318479321848216E-2</v>
      </c>
      <c r="K1435" s="1" cm="1">
        <f t="array" ref="K1435">SUMPRODUCT(("T_B_c-BEVELC-S1"=[1]OUT_TransportEnergyCons!$A$3:$A$1000)*1,("var_fout"=[1]OUT_TransportEnergyCons!$B$3:$B$1000)*1,ISNUMBER(SEARCH("TPBSc",[1]OUT_TransportEnergyCons!$C$3:$C$1000))*1,[1]OUT_TransportEnergyCons!I$3:I$1000)</f>
        <v>5.4372357512950588E-2</v>
      </c>
    </row>
    <row r="1436" spans="2:11" x14ac:dyDescent="0.35">
      <c r="B1436" s="5" t="str">
        <f t="shared" si="833"/>
        <v>SPS3</v>
      </c>
      <c r="C1436" s="5" t="str">
        <f t="shared" si="882"/>
        <v>CH</v>
      </c>
      <c r="D1436" t="s">
        <v>1431</v>
      </c>
      <c r="E1436" t="str">
        <f t="shared" si="883"/>
        <v>billion km/yr.</v>
      </c>
      <c r="F1436" s="1" cm="1">
        <f t="array" ref="F1436">SUMPRODUCT(("T_B_c-BEVELC-S2"=[1]OUT_TransportEnergyCons!$A$3:$A$1000)*1,("var_fout"=[1]OUT_TransportEnergyCons!$B$3:$B$1000)*1,ISNUMBER(SEARCH("TPBSc",[1]OUT_TransportEnergyCons!$C$3:$C$1000))*1,[1]OUT_TransportEnergyCons!D$3:D$1000)</f>
        <v>1.8784774009891129E-4</v>
      </c>
      <c r="G1436" s="1" cm="1">
        <f t="array" ref="G1436">SUMPRODUCT(("T_B_c-BEVELC-S2"=[1]OUT_TransportEnergyCons!$A$3:$A$1000)*1,("var_fout"=[1]OUT_TransportEnergyCons!$B$3:$B$1000)*1,ISNUMBER(SEARCH("TPBSc",[1]OUT_TransportEnergyCons!$C$3:$C$1000))*1,[1]OUT_TransportEnergyCons!E$3:E$1000)</f>
        <v>1.961058131550366E-4</v>
      </c>
      <c r="H1436" s="1" cm="1">
        <f t="array" ref="H1436">SUMPRODUCT(("T_B_c-BEVELC-S2"=[1]OUT_TransportEnergyCons!$A$3:$A$1000)*1,("var_fout"=[1]OUT_TransportEnergyCons!$B$3:$B$1000)*1,ISNUMBER(SEARCH("TPBSc",[1]OUT_TransportEnergyCons!$C$3:$C$1000))*1,[1]OUT_TransportEnergyCons!F$3:F$1000)</f>
        <v>3.9212800398726711E-4</v>
      </c>
      <c r="I1436" s="1" cm="1">
        <f t="array" ref="I1436">SUMPRODUCT(("T_B_c-BEVELC-S2"=[1]OUT_TransportEnergyCons!$A$3:$A$1000)*1,("var_fout"=[1]OUT_TransportEnergyCons!$B$3:$B$1000)*1,ISNUMBER(SEARCH("TPBSc",[1]OUT_TransportEnergyCons!$C$3:$C$1000))*1,[1]OUT_TransportEnergyCons!G$3:G$1000)</f>
        <v>5.4573032644229622E-2</v>
      </c>
      <c r="J1436" s="1" cm="1">
        <f t="array" ref="J1436">SUMPRODUCT(("T_B_c-BEVELC-S2"=[1]OUT_TransportEnergyCons!$A$3:$A$1000)*1,("var_fout"=[1]OUT_TransportEnergyCons!$B$3:$B$1000)*1,ISNUMBER(SEARCH("TPBSc",[1]OUT_TransportEnergyCons!$C$3:$C$1000))*1,[1]OUT_TransportEnergyCons!H$3:H$1000)</f>
        <v>5.7312694893486754E-2</v>
      </c>
      <c r="K1436" s="1" cm="1">
        <f t="array" ref="K1436">SUMPRODUCT(("T_B_c-BEVELC-S2"=[1]OUT_TransportEnergyCons!$A$3:$A$1000)*1,("var_fout"=[1]OUT_TransportEnergyCons!$B$3:$B$1000)*1,ISNUMBER(SEARCH("TPBSc",[1]OUT_TransportEnergyCons!$C$3:$C$1000))*1,[1]OUT_TransportEnergyCons!I$3:I$1000)</f>
        <v>5.59940847764622E-2</v>
      </c>
    </row>
    <row r="1437" spans="2:11" x14ac:dyDescent="0.35">
      <c r="B1437" s="5" t="str">
        <f t="shared" si="833"/>
        <v>SPS3</v>
      </c>
      <c r="C1437" s="5" t="str">
        <f t="shared" si="882"/>
        <v>CH</v>
      </c>
      <c r="D1437" t="s">
        <v>1432</v>
      </c>
      <c r="E1437" t="str">
        <f t="shared" si="883"/>
        <v>billion km/yr.</v>
      </c>
      <c r="F1437" s="1" cm="1">
        <f t="array" ref="F1437">SUMPRODUCT(("T_B_c-BEVELC-S3"=[1]OUT_TransportEnergyCons!$A$3:$A$1000)*1,("var_fout"=[1]OUT_TransportEnergyCons!$B$3:$B$1000)*1,ISNUMBER(SEARCH("TPBSc",[1]OUT_TransportEnergyCons!$C$3:$C$1000))*1,[1]OUT_TransportEnergyCons!D$3:D$1000)</f>
        <v>7.0007095785763119E-5</v>
      </c>
      <c r="G1437" s="1" cm="1">
        <f t="array" ref="G1437">SUMPRODUCT(("T_B_c-BEVELC-S3"=[1]OUT_TransportEnergyCons!$A$3:$A$1000)*1,("var_fout"=[1]OUT_TransportEnergyCons!$B$3:$B$1000)*1,ISNUMBER(SEARCH("TPBSc",[1]OUT_TransportEnergyCons!$C$3:$C$1000))*1,[1]OUT_TransportEnergyCons!E$3:E$1000)</f>
        <v>1.0569368702141424E-4</v>
      </c>
      <c r="H1437" s="1" cm="1">
        <f t="array" ref="H1437">SUMPRODUCT(("T_B_c-BEVELC-S3"=[1]OUT_TransportEnergyCons!$A$3:$A$1000)*1,("var_fout"=[1]OUT_TransportEnergyCons!$B$3:$B$1000)*1,ISNUMBER(SEARCH("TPBSc",[1]OUT_TransportEnergyCons!$C$3:$C$1000))*1,[1]OUT_TransportEnergyCons!F$3:F$1000)</f>
        <v>1.6415770346363718E-4</v>
      </c>
      <c r="I1437" s="1" cm="1">
        <f t="array" ref="I1437">SUMPRODUCT(("T_B_c-BEVELC-S3"=[1]OUT_TransportEnergyCons!$A$3:$A$1000)*1,("var_fout"=[1]OUT_TransportEnergyCons!$B$3:$B$1000)*1,ISNUMBER(SEARCH("TPBSc",[1]OUT_TransportEnergyCons!$C$3:$C$1000))*1,[1]OUT_TransportEnergyCons!G$3:G$1000)</f>
        <v>2.9670292774967128E-4</v>
      </c>
      <c r="J1437" s="1" cm="1">
        <f t="array" ref="J1437">SUMPRODUCT(("T_B_c-BEVELC-S3"=[1]OUT_TransportEnergyCons!$A$3:$A$1000)*1,("var_fout"=[1]OUT_TransportEnergyCons!$B$3:$B$1000)*1,ISNUMBER(SEARCH("TPBSc",[1]OUT_TransportEnergyCons!$C$3:$C$1000))*1,[1]OUT_TransportEnergyCons!H$3:H$1000)</f>
        <v>1.2202183681569225E-2</v>
      </c>
      <c r="K1437" s="1" cm="1">
        <f t="array" ref="K1437">SUMPRODUCT(("T_B_c-BEVELC-S3"=[1]OUT_TransportEnergyCons!$A$3:$A$1000)*1,("var_fout"=[1]OUT_TransportEnergyCons!$B$3:$B$1000)*1,ISNUMBER(SEARCH("TPBSc",[1]OUT_TransportEnergyCons!$C$3:$C$1000))*1,[1]OUT_TransportEnergyCons!I$3:I$1000)</f>
        <v>1.1971847929108487E-2</v>
      </c>
    </row>
    <row r="1438" spans="2:11" x14ac:dyDescent="0.35">
      <c r="B1438" s="5" t="str">
        <f t="shared" si="833"/>
        <v>SPS3</v>
      </c>
      <c r="C1438" s="5" t="str">
        <f t="shared" si="882"/>
        <v>CH</v>
      </c>
      <c r="D1438" t="s">
        <v>1433</v>
      </c>
      <c r="E1438" t="str">
        <f t="shared" si="883"/>
        <v>billion km/yr.</v>
      </c>
      <c r="F1438" s="1" cm="1">
        <f t="array" ref="F1438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38" s="1" cm="1">
        <f t="array" ref="G1438">SUMPRODUCT(("T_B_c-BEVELC-S4"=[1]OUT_TransportEnergyCons!$A$3:$A$1000)*1,("var_fout"=[1]OUT_TransportEnergyCons!$B$3:$B$1000)*1,ISNUMBER(SEARCH("TPBSc",[1]OUT_TransportEnergyCons!$C$3:$C$1000))*1,[1]OUT_TransportEnergyCons!E$3:E$1000)</f>
        <v>1.5463528736512212E-5</v>
      </c>
      <c r="H1438" s="1" cm="1">
        <f t="array" ref="H1438">SUMPRODUCT(("T_B_c-BEVELC-S4"=[1]OUT_TransportEnergyCons!$A$3:$A$1000)*1,("var_fout"=[1]OUT_TransportEnergyCons!$B$3:$B$1000)*1,ISNUMBER(SEARCH("TPBSc",[1]OUT_TransportEnergyCons!$C$3:$C$1000))*1,[1]OUT_TransportEnergyCons!F$3:F$1000)</f>
        <v>3.3827675169118063E-5</v>
      </c>
      <c r="I1438" s="1" cm="1">
        <f t="array" ref="I1438">SUMPRODUCT(("T_B_c-BEVELC-S4"=[1]OUT_TransportEnergyCons!$A$3:$A$1000)*1,("var_fout"=[1]OUT_TransportEnergyCons!$B$3:$B$1000)*1,ISNUMBER(SEARCH("TPBSc",[1]OUT_TransportEnergyCons!$C$3:$C$1000))*1,[1]OUT_TransportEnergyCons!G$3:G$1000)</f>
        <v>3.5508593547655083E-5</v>
      </c>
      <c r="J1438" s="1" cm="1">
        <f t="array" ref="J1438">SUMPRODUCT(("T_B_c-BEVELC-S4"=[1]OUT_TransportEnergyCons!$A$3:$A$1000)*1,("var_fout"=[1]OUT_TransportEnergyCons!$B$3:$B$1000)*1,ISNUMBER(SEARCH("TPBSc",[1]OUT_TransportEnergyCons!$C$3:$C$1000))*1,[1]OUT_TransportEnergyCons!H$3:H$1000)</f>
        <v>3.2739859751285328E-5</v>
      </c>
      <c r="K1438" s="1" cm="1">
        <f t="array" ref="K1438">SUMPRODUCT(("T_B_c-BEVELC-S4"=[1]OUT_TransportEnergyCons!$A$3:$A$1000)*1,("var_fout"=[1]OUT_TransportEnergyCons!$B$3:$B$1000)*1,ISNUMBER(SEARCH("TPBSc",[1]OUT_TransportEnergyCons!$C$3:$C$1000))*1,[1]OUT_TransportEnergyCons!I$3:I$1000)</f>
        <v>8.0889592019221289E-6</v>
      </c>
    </row>
    <row r="1439" spans="2:11" x14ac:dyDescent="0.35">
      <c r="B1439" s="5" t="str">
        <f t="shared" si="833"/>
        <v>SPS3</v>
      </c>
      <c r="C1439" s="5" t="str">
        <f t="shared" si="882"/>
        <v>CH</v>
      </c>
      <c r="D1439" t="s">
        <v>1434</v>
      </c>
      <c r="E1439" t="str">
        <f t="shared" si="883"/>
        <v>billion km/yr.</v>
      </c>
      <c r="F1439" s="1" cm="1">
        <f t="array" ref="F1439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39" s="1" cm="1">
        <f t="array" ref="G1439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39" s="1" cm="1">
        <f t="array" ref="H1439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39" s="1" cm="1">
        <f t="array" ref="I1439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39" s="1" cm="1">
        <f t="array" ref="J1439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39" s="1" cm="1">
        <f t="array" ref="K1439">SUMPRODUCT(("T_B_c-FCLH2O-S1"=[1]OUT_TransportEnergyCons!$A$3:$A$1000)*1,("var_fout"=[1]OUT_TransportEnergyCons!$B$3:$B$1000)*1,ISNUMBER(SEARCH("TPBSc",[1]OUT_TransportEnergyCons!$C$3:$C$1000))*1,[1]OUT_TransportEnergyCons!I$3:I$1000)</f>
        <v>0</v>
      </c>
    </row>
    <row r="1440" spans="2:11" x14ac:dyDescent="0.35">
      <c r="B1440" s="5" t="str">
        <f t="shared" si="833"/>
        <v>SPS3</v>
      </c>
      <c r="C1440" s="5" t="str">
        <f t="shared" si="882"/>
        <v>CH</v>
      </c>
      <c r="D1440" t="s">
        <v>1435</v>
      </c>
      <c r="E1440" t="str">
        <f t="shared" si="883"/>
        <v>billion km/yr.</v>
      </c>
      <c r="F1440" s="1" cm="1">
        <f t="array" ref="F1440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0" s="1" cm="1">
        <f t="array" ref="H1440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0" s="1" cm="1">
        <f t="array" ref="I1440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0" s="1" cm="1">
        <f t="array" ref="J1440">SUMPRODUCT(("T_B_c-FCLH2O-S2"=[1]OUT_TransportEnergyCons!$A$3:$A$1000)*1,("var_fout"=[1]OUT_TransportEnergyCons!$B$3:$B$1000)*1,ISNUMBER(SEARCH("TPBSc",[1]OUT_TransportEnergyCons!$C$3:$C$1000))*1,[1]OUT_TransportEnergyCons!H$3:H$1000)</f>
        <v>1.5643138204332514E-7</v>
      </c>
      <c r="K1440" s="1" cm="1">
        <f t="array" ref="K1440">SUMPRODUCT(("T_B_c-FCLH2O-S2"=[1]OUT_TransportEnergyCons!$A$3:$A$1000)*1,("var_fout"=[1]OUT_TransportEnergyCons!$B$3:$B$1000)*1,ISNUMBER(SEARCH("TPBSc",[1]OUT_TransportEnergyCons!$C$3:$C$1000))*1,[1]OUT_TransportEnergyCons!I$3:I$1000)</f>
        <v>0</v>
      </c>
    </row>
    <row r="1441" spans="2:11" x14ac:dyDescent="0.35">
      <c r="B1441" s="5" t="str">
        <f t="shared" si="833"/>
        <v>SPS3</v>
      </c>
      <c r="C1441" s="5" t="str">
        <f t="shared" si="882"/>
        <v>CH</v>
      </c>
      <c r="D1441" t="s">
        <v>1436</v>
      </c>
      <c r="E1441" t="str">
        <f t="shared" si="883"/>
        <v>billion km/yr.</v>
      </c>
      <c r="F1441" s="1" cm="1">
        <f t="array" ref="F1441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SUMPRODUCT(("T_B_c-FCLH2O-S3"=[1]OUT_TransportEnergyCons!$A$3:$A$1000)*1,("var_fout"=[1]OUT_TransportEnergyCons!$B$3:$B$1000)*1,ISNUMBER(SEARCH("TPBSc",[1]OUT_TransportEnergyCons!$C$3:$C$1000))*1,[1]OUT_TransportEnergyCons!H$3:H$1000)</f>
        <v>2.0538692352290652E-7</v>
      </c>
      <c r="K1441" s="1" cm="1">
        <f t="array" ref="K1441">SUMPRODUCT(("T_B_c-FCLH2O-S3"=[1]OUT_TransportEnergyCons!$A$3:$A$1000)*1,("var_fout"=[1]OUT_TransportEnergyCons!$B$3:$B$1000)*1,ISNUMBER(SEARCH("TPBSc",[1]OUT_TransportEnergyCons!$C$3:$C$1000))*1,[1]OUT_TransportEnergyCons!I$3:I$1000)</f>
        <v>1.5652414934223942E-7</v>
      </c>
    </row>
    <row r="1442" spans="2:11" x14ac:dyDescent="0.35">
      <c r="B1442" s="5" t="str">
        <f t="shared" si="833"/>
        <v>SPS3</v>
      </c>
      <c r="C1442" s="5" t="str">
        <f t="shared" si="882"/>
        <v>CH</v>
      </c>
      <c r="D1442" t="s">
        <v>1437</v>
      </c>
      <c r="E1442" t="str">
        <f t="shared" si="883"/>
        <v>billion km/yr.</v>
      </c>
      <c r="F1442" s="1" cm="1">
        <f t="array" ref="F1442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SUMPRODUCT(("T_B_c-FCLH2O-S4"=[1]OUT_TransportEnergyCons!$A$3:$A$1000)*1,("var_fout"=[1]OUT_TransportEnergyCons!$B$3:$B$1000)*1,ISNUMBER(SEARCH("TPBSc",[1]OUT_TransportEnergyCons!$C$3:$C$1000))*1,[1]OUT_TransportEnergyCons!H$3:H$1000)</f>
        <v>6.2193517503074099E-8</v>
      </c>
      <c r="K1442" s="1" cm="1">
        <f t="array" ref="K1442">SUMPRODUCT(("T_B_c-FCLH2O-S4"=[1]OUT_TransportEnergyCons!$A$3:$A$1000)*1,("var_fout"=[1]OUT_TransportEnergyCons!$B$3:$B$1000)*1,ISNUMBER(SEARCH("TPBSc",[1]OUT_TransportEnergyCons!$C$3:$C$1000))*1,[1]OUT_TransportEnergyCons!I$3:I$1000)</f>
        <v>0</v>
      </c>
    </row>
    <row r="1443" spans="2:11" x14ac:dyDescent="0.35">
      <c r="B1443" s="5" t="str">
        <f t="shared" si="833"/>
        <v>SPS3</v>
      </c>
      <c r="C1443" s="5" t="str">
        <f t="shared" si="882"/>
        <v>CH</v>
      </c>
      <c r="D1443" t="s">
        <v>1438</v>
      </c>
      <c r="E1443" t="str">
        <f t="shared" si="883"/>
        <v>billion km/yr.</v>
      </c>
      <c r="F1443" s="1" cm="1">
        <f t="array" ref="F1443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SUMPRODUCT(("T_B_c-HYBDSL-S1"=[1]OUT_TransportEnergyCons!$A$3:$A$1000)*1,("var_fout"=[1]OUT_TransportEnergyCons!$B$3:$B$1000)*1,ISNUMBER(SEARCH("TPBSc",[1]OUT_TransportEnergyCons!$C$3:$C$1000))*1,[1]OUT_TransportEnergyCons!E$3:E$1000)</f>
        <v>6.8469481673008061E-4</v>
      </c>
      <c r="H1443" s="1" cm="1">
        <f t="array" ref="H1443">SUMPRODUCT(("T_B_c-HYBDSL-S1"=[1]OUT_TransportEnergyCons!$A$3:$A$1000)*1,("var_fout"=[1]OUT_TransportEnergyCons!$B$3:$B$1000)*1,ISNUMBER(SEARCH("TPBSc",[1]OUT_TransportEnergyCons!$C$3:$C$1000))*1,[1]OUT_TransportEnergyCons!F$3:F$1000)</f>
        <v>7.9983076825534375E-4</v>
      </c>
      <c r="I1443" s="1" cm="1">
        <f t="array" ref="I1443">SUMPRODUCT(("T_B_c-HYBDSL-S1"=[1]OUT_TransportEnergyCons!$A$3:$A$1000)*1,("var_fout"=[1]OUT_TransportEnergyCons!$B$3:$B$1000)*1,ISNUMBER(SEARCH("TPBSc",[1]OUT_TransportEnergyCons!$C$3:$C$1000))*1,[1]OUT_TransportEnergyCons!G$3:G$1000)</f>
        <v>1.8536818307996042E-4</v>
      </c>
      <c r="J1443" s="1" cm="1">
        <f t="array" ref="J1443">SUMPRODUCT(("T_B_c-HYBDSL-S1"=[1]OUT_TransportEnergyCons!$A$3:$A$1000)*1,("var_fout"=[1]OUT_TransportEnergyCons!$B$3:$B$1000)*1,ISNUMBER(SEARCH("TPBSc",[1]OUT_TransportEnergyCons!$C$3:$C$1000))*1,[1]OUT_TransportEnergyCons!H$3:H$1000)</f>
        <v>1.2524792733933032E-2</v>
      </c>
      <c r="K1443" s="1" cm="1">
        <f t="array" ref="K1443">SUMPRODUCT(("T_B_c-HYBDSL-S1"=[1]OUT_TransportEnergyCons!$A$3:$A$1000)*1,("var_fout"=[1]OUT_TransportEnergyCons!$B$3:$B$1000)*1,ISNUMBER(SEARCH("TPBSc",[1]OUT_TransportEnergyCons!$C$3:$C$1000))*1,[1]OUT_TransportEnergyCons!I$3:I$1000)</f>
        <v>8.7717492146816688E-3</v>
      </c>
    </row>
    <row r="1444" spans="2:11" x14ac:dyDescent="0.35">
      <c r="B1444" s="5" t="str">
        <f t="shared" si="833"/>
        <v>SPS3</v>
      </c>
      <c r="C1444" s="5" t="str">
        <f t="shared" si="882"/>
        <v>CH</v>
      </c>
      <c r="D1444" t="s">
        <v>1439</v>
      </c>
      <c r="E1444" t="str">
        <f t="shared" si="883"/>
        <v>billion km/yr.</v>
      </c>
      <c r="F1444" s="1" cm="1">
        <f t="array" ref="F1444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SUMPRODUCT(("T_B_c-HYBDSL-S2"=[1]OUT_TransportEnergyCons!$A$3:$A$1000)*1,("var_fout"=[1]OUT_TransportEnergyCons!$B$3:$B$1000)*1,ISNUMBER(SEARCH("TPBSc",[1]OUT_TransportEnergyCons!$C$3:$C$1000))*1,[1]OUT_TransportEnergyCons!E$3:E$1000)</f>
        <v>7.9372241042841149E-5</v>
      </c>
      <c r="H1444" s="1" cm="1">
        <f t="array" ref="H1444">SUMPRODUCT(("T_B_c-HYBDSL-S2"=[1]OUT_TransportEnergyCons!$A$3:$A$1000)*1,("var_fout"=[1]OUT_TransportEnergyCons!$B$3:$B$1000)*1,ISNUMBER(SEARCH("TPBSc",[1]OUT_TransportEnergyCons!$C$3:$C$1000))*1,[1]OUT_TransportEnergyCons!F$3:F$1000)</f>
        <v>2.5431968851491885E-3</v>
      </c>
      <c r="I1444" s="1" cm="1">
        <f t="array" ref="I1444">SUMPRODUCT(("T_B_c-HYBDSL-S2"=[1]OUT_TransportEnergyCons!$A$3:$A$1000)*1,("var_fout"=[1]OUT_TransportEnergyCons!$B$3:$B$1000)*1,ISNUMBER(SEARCH("TPBSc",[1]OUT_TransportEnergyCons!$C$3:$C$1000))*1,[1]OUT_TransportEnergyCons!G$3:G$1000)</f>
        <v>2.8395907652078852E-3</v>
      </c>
      <c r="J1444" s="1" cm="1">
        <f t="array" ref="J1444">SUMPRODUCT(("T_B_c-HYBDSL-S2"=[1]OUT_TransportEnergyCons!$A$3:$A$1000)*1,("var_fout"=[1]OUT_TransportEnergyCons!$B$3:$B$1000)*1,ISNUMBER(SEARCH("TPBSc",[1]OUT_TransportEnergyCons!$C$3:$C$1000))*1,[1]OUT_TransportEnergyCons!H$3:H$1000)</f>
        <v>2.3067306595752146E-4</v>
      </c>
      <c r="K1444" s="1" cm="1">
        <f t="array" ref="K1444">SUMPRODUCT(("T_B_c-HYBDSL-S2"=[1]OUT_TransportEnergyCons!$A$3:$A$1000)*1,("var_fout"=[1]OUT_TransportEnergyCons!$B$3:$B$1000)*1,ISNUMBER(SEARCH("TPBSc",[1]OUT_TransportEnergyCons!$C$3:$C$1000))*1,[1]OUT_TransportEnergyCons!I$3:I$1000)</f>
        <v>1.6464209416411174E-5</v>
      </c>
    </row>
    <row r="1445" spans="2:11" x14ac:dyDescent="0.35">
      <c r="B1445" s="5" t="str">
        <f t="shared" si="833"/>
        <v>SPS3</v>
      </c>
      <c r="C1445" s="5" t="str">
        <f t="shared" si="882"/>
        <v>CH</v>
      </c>
      <c r="D1445" t="s">
        <v>1440</v>
      </c>
      <c r="E1445" t="str">
        <f t="shared" si="883"/>
        <v>billion km/yr.</v>
      </c>
      <c r="F1445" s="1" cm="1">
        <f t="array" ref="F1445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SUMPRODUCT(("T_B_c-HYBDSL-S3"=[1]OUT_TransportEnergyCons!$A$3:$A$1000)*1,("var_fout"=[1]OUT_TransportEnergyCons!$B$3:$B$1000)*1,ISNUMBER(SEARCH("TPBSc",[1]OUT_TransportEnergyCons!$C$3:$C$1000))*1,[1]OUT_TransportEnergyCons!E$3:E$1000)</f>
        <v>3.750160500541763E-5</v>
      </c>
      <c r="H1445" s="1" cm="1">
        <f t="array" ref="H1445">SUMPRODUCT(("T_B_c-HYBDSL-S3"=[1]OUT_TransportEnergyCons!$A$3:$A$1000)*1,("var_fout"=[1]OUT_TransportEnergyCons!$B$3:$B$1000)*1,ISNUMBER(SEARCH("TPBSc",[1]OUT_TransportEnergyCons!$C$3:$C$1000))*1,[1]OUT_TransportEnergyCons!F$3:F$1000)</f>
        <v>7.8784765510639745E-4</v>
      </c>
      <c r="I1445" s="1" cm="1">
        <f t="array" ref="I1445">SUMPRODUCT(("T_B_c-HYBDSL-S3"=[1]OUT_TransportEnergyCons!$A$3:$A$1000)*1,("var_fout"=[1]OUT_TransportEnergyCons!$B$3:$B$1000)*1,ISNUMBER(SEARCH("TPBSc",[1]OUT_TransportEnergyCons!$C$3:$C$1000))*1,[1]OUT_TransportEnergyCons!G$3:G$1000)</f>
        <v>1.1980112640388811E-2</v>
      </c>
      <c r="J1445" s="1" cm="1">
        <f t="array" ref="J1445">SUMPRODUCT(("T_B_c-HYBDSL-S3"=[1]OUT_TransportEnergyCons!$A$3:$A$1000)*1,("var_fout"=[1]OUT_TransportEnergyCons!$B$3:$B$1000)*1,ISNUMBER(SEARCH("TPBSc",[1]OUT_TransportEnergyCons!$C$3:$C$1000))*1,[1]OUT_TransportEnergyCons!H$3:H$1000)</f>
        <v>9.8276539201680056E-5</v>
      </c>
      <c r="K1445" s="1" cm="1">
        <f t="array" ref="K1445">SUMPRODUCT(("T_B_c-HYBDSL-S3"=[1]OUT_TransportEnergyCons!$A$3:$A$1000)*1,("var_fout"=[1]OUT_TransportEnergyCons!$B$3:$B$1000)*1,ISNUMBER(SEARCH("TPBSc",[1]OUT_TransportEnergyCons!$C$3:$C$1000))*1,[1]OUT_TransportEnergyCons!I$3:I$1000)</f>
        <v>3.1534482248888452E-6</v>
      </c>
    </row>
    <row r="1446" spans="2:11" x14ac:dyDescent="0.35">
      <c r="B1446" s="5" t="str">
        <f t="shared" si="833"/>
        <v>SPS3</v>
      </c>
      <c r="C1446" s="5" t="str">
        <f t="shared" si="882"/>
        <v>CH</v>
      </c>
      <c r="D1446" t="s">
        <v>1441</v>
      </c>
      <c r="E1446" t="str">
        <f t="shared" si="883"/>
        <v>billion km/yr.</v>
      </c>
      <c r="F1446" s="1" cm="1">
        <f t="array" ref="F1446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SUMPRODUCT(("T_B_c-HYBDSL-S4"=[1]OUT_TransportEnergyCons!$A$3:$A$1000)*1,("var_fout"=[1]OUT_TransportEnergyCons!$B$3:$B$1000)*1,ISNUMBER(SEARCH("TPBSc",[1]OUT_TransportEnergyCons!$C$3:$C$1000))*1,[1]OUT_TransportEnergyCons!E$3:E$1000)</f>
        <v>5.797353450075231E-6</v>
      </c>
      <c r="H1446" s="1" cm="1">
        <f t="array" ref="H1446">SUMPRODUCT(("T_B_c-HYBDSL-S4"=[1]OUT_TransportEnergyCons!$A$3:$A$1000)*1,("var_fout"=[1]OUT_TransportEnergyCons!$B$3:$B$1000)*1,ISNUMBER(SEARCH("TPBSc",[1]OUT_TransportEnergyCons!$C$3:$C$1000))*1,[1]OUT_TransportEnergyCons!F$3:F$1000)</f>
        <v>1.088785278576751E-5</v>
      </c>
      <c r="I1446" s="1" cm="1">
        <f t="array" ref="I1446">SUMPRODUCT(("T_B_c-HYBDSL-S4"=[1]OUT_TransportEnergyCons!$A$3:$A$1000)*1,("var_fout"=[1]OUT_TransportEnergyCons!$B$3:$B$1000)*1,ISNUMBER(SEARCH("TPBSc",[1]OUT_TransportEnergyCons!$C$3:$C$1000))*1,[1]OUT_TransportEnergyCons!G$3:G$1000)</f>
        <v>8.4378807518304839E-6</v>
      </c>
      <c r="J1446" s="1" cm="1">
        <f t="array" ref="J1446">SUMPRODUCT(("T_B_c-HYBDSL-S4"=[1]OUT_TransportEnergyCons!$A$3:$A$1000)*1,("var_fout"=[1]OUT_TransportEnergyCons!$B$3:$B$1000)*1,ISNUMBER(SEARCH("TPBSc",[1]OUT_TransportEnergyCons!$C$3:$C$1000))*1,[1]OUT_TransportEnergyCons!H$3:H$1000)</f>
        <v>3.7910122547034079E-6</v>
      </c>
      <c r="K1446" s="1" cm="1">
        <f t="array" ref="K1446">SUMPRODUCT(("T_B_c-HYBDSL-S4"=[1]OUT_TransportEnergyCons!$A$3:$A$1000)*1,("var_fout"=[1]OUT_TransportEnergyCons!$B$3:$B$1000)*1,ISNUMBER(SEARCH("TPBSc",[1]OUT_TransportEnergyCons!$C$3:$C$1000))*1,[1]OUT_TransportEnergyCons!I$3:I$1000)</f>
        <v>0</v>
      </c>
    </row>
    <row r="1447" spans="2:11" x14ac:dyDescent="0.35">
      <c r="B1447" s="5" t="str">
        <f t="shared" si="833"/>
        <v>SPS3</v>
      </c>
      <c r="C1447" s="5" t="str">
        <f t="shared" si="882"/>
        <v>CH</v>
      </c>
      <c r="D1447" t="s">
        <v>2117</v>
      </c>
      <c r="E1447" t="str">
        <f t="shared" si="883"/>
        <v>billion km/yr.</v>
      </c>
      <c r="F1447" s="1" cm="1">
        <f t="array" ref="F1447">SUMPRODUCT(("T_B_c-ICEDSLEXT"=[1]OUT_TransportEnergyCons!$A$3:$A$1000)*1,("var_fout"=[1]OUT_TransportEnergyCons!$B$3:$B$1000)*1,ISNUMBER(SEARCH("TPBSc",[1]OUT_TransportEnergyCons!$C$3:$C$1000))*1,[1]OUT_TransportEnergyCons!D$3:D$1000)</f>
        <v>5.9970516707628804E-2</v>
      </c>
      <c r="G1447" s="1" cm="1">
        <f t="array" ref="G1447">SUMPRODUCT(("T_B_c-ICEDSLEXT"=[1]OUT_TransportEnergyCons!$A$3:$A$1000)*1,("var_fout"=[1]OUT_TransportEnergyCons!$B$3:$B$1000)*1,ISNUMBER(SEARCH("TPBSc",[1]OUT_TransportEnergyCons!$C$3:$C$1000))*1,[1]OUT_TransportEnergyCons!E$3:E$1000)</f>
        <v>4.7991865681260876E-2</v>
      </c>
      <c r="H1447" s="1" cm="1">
        <f t="array" ref="H1447">SUMPRODUCT(("T_B_c-ICEDSLEXT"=[1]OUT_TransportEnergyCons!$A$3:$A$1000)*1,("var_fout"=[1]OUT_TransportEnergyCons!$B$3:$B$1000)*1,ISNUMBER(SEARCH("TPBSc",[1]OUT_TransportEnergyCons!$C$3:$C$1000))*1,[1]OUT_TransportEnergyCons!F$3:F$1000)</f>
        <v>2.9995866989932674E-2</v>
      </c>
      <c r="I1447" s="1" cm="1">
        <f t="array" ref="I1447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7" s="1" cm="1">
        <f t="array" ref="J1447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7" s="1" cm="1">
        <f t="array" ref="K1447">SUMPRODUCT(("T_B_c-ICEDSLEXT"=[1]OUT_TransportEnergyCons!$A$3:$A$1000)*1,("var_fout"=[1]OUT_TransportEnergyCons!$B$3:$B$1000)*1,ISNUMBER(SEARCH("TPBSc",[1]OUT_TransportEnergyCons!$C$3:$C$1000))*1,[1]OUT_TransportEnergyCons!I$3:I$1000)</f>
        <v>0</v>
      </c>
    </row>
    <row r="1448" spans="2:11" x14ac:dyDescent="0.35">
      <c r="B1448" s="5" t="str">
        <f t="shared" si="833"/>
        <v>SPS3</v>
      </c>
      <c r="C1448" s="5" t="str">
        <f t="shared" si="882"/>
        <v>CH</v>
      </c>
      <c r="D1448" t="s">
        <v>1442</v>
      </c>
      <c r="E1448" t="str">
        <f t="shared" si="883"/>
        <v>billion km/yr.</v>
      </c>
      <c r="F1448" s="1" cm="1">
        <f t="array" ref="F1448">SUMPRODUCT(("T_B_c-ICEDSL-S1"=[1]OUT_TransportEnergyCons!$A$3:$A$1000)*1,("var_fout"=[1]OUT_TransportEnergyCons!$B$3:$B$1000)*1,ISNUMBER(SEARCH("TPBSc",[1]OUT_TransportEnergyCons!$C$3:$C$1000))*1,[1]OUT_TransportEnergyCons!D$3:D$1000)</f>
        <v>1.4019517081857117E-2</v>
      </c>
      <c r="G1448" s="1" cm="1">
        <f t="array" ref="G1448">SUMPRODUCT(("T_B_c-ICEDSL-S1"=[1]OUT_TransportEnergyCons!$A$3:$A$1000)*1,("var_fout"=[1]OUT_TransportEnergyCons!$B$3:$B$1000)*1,ISNUMBER(SEARCH("TPBSc",[1]OUT_TransportEnergyCons!$C$3:$C$1000))*1,[1]OUT_TransportEnergyCons!E$3:E$1000)</f>
        <v>3.8785394849204943E-2</v>
      </c>
      <c r="H1448" s="1" cm="1">
        <f t="array" ref="H1448">SUMPRODUCT(("T_B_c-ICEDSL-S1"=[1]OUT_TransportEnergyCons!$A$3:$A$1000)*1,("var_fout"=[1]OUT_TransportEnergyCons!$B$3:$B$1000)*1,ISNUMBER(SEARCH("TPBSc",[1]OUT_TransportEnergyCons!$C$3:$C$1000))*1,[1]OUT_TransportEnergyCons!F$3:F$1000)</f>
        <v>4.7682247097148744E-2</v>
      </c>
      <c r="I1448" s="1" cm="1">
        <f t="array" ref="I1448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SUMPRODUCT(("T_B_c-ICEDSL-S1"=[1]OUT_TransportEnergyCons!$A$3:$A$1000)*1,("var_fout"=[1]OUT_TransportEnergyCons!$B$3:$B$1000)*1,ISNUMBER(SEARCH("TPBSc",[1]OUT_TransportEnergyCons!$C$3:$C$1000))*1,[1]OUT_TransportEnergyCons!H$3:H$1000)</f>
        <v>1.6838143345280575E-6</v>
      </c>
      <c r="K1448" s="1" cm="1">
        <f t="array" ref="K1448">SUMPRODUCT(("T_B_c-ICEDSL-S1"=[1]OUT_TransportEnergyCons!$A$3:$A$1000)*1,("var_fout"=[1]OUT_TransportEnergyCons!$B$3:$B$1000)*1,ISNUMBER(SEARCH("TPBSc",[1]OUT_TransportEnergyCons!$C$3:$C$1000))*1,[1]OUT_TransportEnergyCons!I$3:I$1000)</f>
        <v>3.1704337578438702E-7</v>
      </c>
    </row>
    <row r="1449" spans="2:11" x14ac:dyDescent="0.35">
      <c r="B1449" s="5" t="str">
        <f t="shared" si="833"/>
        <v>SPS3</v>
      </c>
      <c r="C1449" s="5" t="str">
        <f t="shared" si="882"/>
        <v>CH</v>
      </c>
      <c r="D1449" t="s">
        <v>1443</v>
      </c>
      <c r="E1449" t="str">
        <f t="shared" si="883"/>
        <v>billion km/yr.</v>
      </c>
      <c r="F1449" s="1" cm="1">
        <f t="array" ref="F1449">SUMPRODUCT(("T_B_c-ICEDSL-S2"=[1]OUT_TransportEnergyCons!$A$3:$A$1000)*1,("var_fout"=[1]OUT_TransportEnergyCons!$B$3:$B$1000)*1,ISNUMBER(SEARCH("TPBSc",[1]OUT_TransportEnergyCons!$C$3:$C$1000))*1,[1]OUT_TransportEnergyCons!D$3:D$1000)</f>
        <v>4.5378488059604538E-2</v>
      </c>
      <c r="G1449" s="1" cm="1">
        <f t="array" ref="G1449">SUMPRODUCT(("T_B_c-ICEDSL-S2"=[1]OUT_TransportEnergyCons!$A$3:$A$1000)*1,("var_fout"=[1]OUT_TransportEnergyCons!$B$3:$B$1000)*1,ISNUMBER(SEARCH("TPBSc",[1]OUT_TransportEnergyCons!$C$3:$C$1000))*1,[1]OUT_TransportEnergyCons!E$3:E$1000)</f>
        <v>3.4987853542126933E-2</v>
      </c>
      <c r="H1449" s="1" cm="1">
        <f t="array" ref="H1449">SUMPRODUCT(("T_B_c-ICEDSL-S2"=[1]OUT_TransportEnergyCons!$A$3:$A$1000)*1,("var_fout"=[1]OUT_TransportEnergyCons!$B$3:$B$1000)*1,ISNUMBER(SEARCH("TPBSc",[1]OUT_TransportEnergyCons!$C$3:$C$1000))*1,[1]OUT_TransportEnergyCons!F$3:F$1000)</f>
        <v>4.0566031319731778E-2</v>
      </c>
      <c r="I1449" s="1" cm="1">
        <f t="array" ref="I1449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SUMPRODUCT(("T_B_c-ICEDSL-S2"=[1]OUT_TransportEnergyCons!$A$3:$A$1000)*1,("var_fout"=[1]OUT_TransportEnergyCons!$B$3:$B$1000)*1,ISNUMBER(SEARCH("TPBSc",[1]OUT_TransportEnergyCons!$C$3:$C$1000))*1,[1]OUT_TransportEnergyCons!H$3:H$1000)</f>
        <v>2.3270924188897555E-6</v>
      </c>
      <c r="K1449" s="1" cm="1">
        <f t="array" ref="K1449">SUMPRODUCT(("T_B_c-ICEDSL-S2"=[1]OUT_TransportEnergyCons!$A$3:$A$1000)*1,("var_fout"=[1]OUT_TransportEnergyCons!$B$3:$B$1000)*1,ISNUMBER(SEARCH("TPBSc",[1]OUT_TransportEnergyCons!$C$3:$C$1000))*1,[1]OUT_TransportEnergyCons!I$3:I$1000)</f>
        <v>0</v>
      </c>
    </row>
    <row r="1450" spans="2:11" x14ac:dyDescent="0.35">
      <c r="B1450" s="5" t="str">
        <f t="shared" si="833"/>
        <v>SPS3</v>
      </c>
      <c r="C1450" s="5" t="str">
        <f t="shared" si="882"/>
        <v>CH</v>
      </c>
      <c r="D1450" t="s">
        <v>1444</v>
      </c>
      <c r="E1450" t="str">
        <f t="shared" si="883"/>
        <v>billion km/yr.</v>
      </c>
      <c r="F1450" s="1" cm="1">
        <f t="array" ref="F1450">SUMPRODUCT(("T_B_c-ICEDSL-S3"=[1]OUT_TransportEnergyCons!$A$3:$A$1000)*1,("var_fout"=[1]OUT_TransportEnergyCons!$B$3:$B$1000)*1,ISNUMBER(SEARCH("TPBSc",[1]OUT_TransportEnergyCons!$C$3:$C$1000))*1,[1]OUT_TransportEnergyCons!D$3:D$1000)</f>
        <v>9.2959145624435628E-3</v>
      </c>
      <c r="G1450" s="1" cm="1">
        <f t="array" ref="G1450">SUMPRODUCT(("T_B_c-ICEDSL-S3"=[1]OUT_TransportEnergyCons!$A$3:$A$1000)*1,("var_fout"=[1]OUT_TransportEnergyCons!$B$3:$B$1000)*1,ISNUMBER(SEARCH("TPBSc",[1]OUT_TransportEnergyCons!$C$3:$C$1000))*1,[1]OUT_TransportEnergyCons!E$3:E$1000)</f>
        <v>7.3991573214696104E-3</v>
      </c>
      <c r="H1450" s="1" cm="1">
        <f t="array" ref="H1450">SUMPRODUCT(("T_B_c-ICEDSL-S3"=[1]OUT_TransportEnergyCons!$A$3:$A$1000)*1,("var_fout"=[1]OUT_TransportEnergyCons!$B$3:$B$1000)*1,ISNUMBER(SEARCH("TPBSc",[1]OUT_TransportEnergyCons!$C$3:$C$1000))*1,[1]OUT_TransportEnergyCons!F$3:F$1000)</f>
        <v>8.3410147470036854E-3</v>
      </c>
      <c r="I1450" s="1" cm="1">
        <f t="array" ref="I1450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SUMPRODUCT(("T_B_c-ICEDSL-S3"=[1]OUT_TransportEnergyCons!$A$3:$A$1000)*1,("var_fout"=[1]OUT_TransportEnergyCons!$B$3:$B$1000)*1,ISNUMBER(SEARCH("TPBSc",[1]OUT_TransportEnergyCons!$C$3:$C$1000))*1,[1]OUT_TransportEnergyCons!H$3:H$1000)</f>
        <v>1.1127393162255209E-6</v>
      </c>
      <c r="K1450" s="1" cm="1">
        <f t="array" ref="K1450">SUMPRODUCT(("T_B_c-ICEDSL-S3"=[1]OUT_TransportEnergyCons!$A$3:$A$1000)*1,("var_fout"=[1]OUT_TransportEnergyCons!$B$3:$B$1000)*1,ISNUMBER(SEARCH("TPBSc",[1]OUT_TransportEnergyCons!$C$3:$C$1000))*1,[1]OUT_TransportEnergyCons!I$3:I$1000)</f>
        <v>0</v>
      </c>
    </row>
    <row r="1451" spans="2:11" x14ac:dyDescent="0.35">
      <c r="B1451" s="5" t="str">
        <f t="shared" si="833"/>
        <v>SPS3</v>
      </c>
      <c r="C1451" s="5" t="str">
        <f t="shared" si="882"/>
        <v>CH</v>
      </c>
      <c r="D1451" t="s">
        <v>1445</v>
      </c>
      <c r="E1451" t="str">
        <f t="shared" si="883"/>
        <v>billion km/yr.</v>
      </c>
      <c r="F1451" s="1" cm="1">
        <f t="array" ref="F1451">SUMPRODUCT(("T_B_c-ICEDSL-S4"=[1]OUT_TransportEnergyCons!$A$3:$A$1000)*1,("var_fout"=[1]OUT_TransportEnergyCons!$B$3:$B$1000)*1,ISNUMBER(SEARCH("TPBSc",[1]OUT_TransportEnergyCons!$C$3:$C$1000))*1,[1]OUT_TransportEnergyCons!D$3:D$1000)</f>
        <v>6.0716025226770242E-4</v>
      </c>
      <c r="G1451" s="1" cm="1">
        <f t="array" ref="G1451">SUMPRODUCT(("T_B_c-ICEDSL-S4"=[1]OUT_TransportEnergyCons!$A$3:$A$1000)*1,("var_fout"=[1]OUT_TransportEnergyCons!$B$3:$B$1000)*1,ISNUMBER(SEARCH("TPBSc",[1]OUT_TransportEnergyCons!$C$3:$C$1000))*1,[1]OUT_TransportEnergyCons!E$3:E$1000)</f>
        <v>3.531056731907722E-5</v>
      </c>
      <c r="H1451" s="1" cm="1">
        <f t="array" ref="H1451">SUMPRODUCT(("T_B_c-ICEDSL-S4"=[1]OUT_TransportEnergyCons!$A$3:$A$1000)*1,("var_fout"=[1]OUT_TransportEnergyCons!$B$3:$B$1000)*1,ISNUMBER(SEARCH("TPBSc",[1]OUT_TransportEnergyCons!$C$3:$C$1000))*1,[1]OUT_TransportEnergyCons!F$3:F$1000)</f>
        <v>4.5111192074767924E-5</v>
      </c>
      <c r="I1451" s="1" cm="1">
        <f t="array" ref="I1451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SUMPRODUCT(("T_B_c-ICEDSL-S4"=[1]OUT_TransportEnergyCons!$A$3:$A$1000)*1,("var_fout"=[1]OUT_TransportEnergyCons!$B$3:$B$1000)*1,ISNUMBER(SEARCH("TPBSc",[1]OUT_TransportEnergyCons!$C$3:$C$1000))*1,[1]OUT_TransportEnergyCons!H$3:H$1000)</f>
        <v>1.2955875858243603E-7</v>
      </c>
      <c r="K1451" s="1" cm="1">
        <f t="array" ref="K1451">SUMPRODUCT(("T_B_c-ICEDSL-S4"=[1]OUT_TransportEnergyCons!$A$3:$A$1000)*1,("var_fout"=[1]OUT_TransportEnergyCons!$B$3:$B$1000)*1,ISNUMBER(SEARCH("TPBSc",[1]OUT_TransportEnergyCons!$C$3:$C$1000))*1,[1]OUT_TransportEnergyCons!I$3:I$1000)</f>
        <v>0</v>
      </c>
    </row>
    <row r="1452" spans="2:11" x14ac:dyDescent="0.35">
      <c r="B1452" s="5" t="str">
        <f t="shared" si="833"/>
        <v>SPS3</v>
      </c>
      <c r="C1452" s="5" t="str">
        <f t="shared" si="882"/>
        <v>CH</v>
      </c>
      <c r="D1452" t="s">
        <v>2120</v>
      </c>
      <c r="E1452" t="str">
        <f t="shared" si="883"/>
        <v>billion km/yr.</v>
      </c>
      <c r="F1452" s="1" cm="1">
        <f t="array" ref="F1452">SUMPRODUCT(("T_B_c-ICEngaEXT"=[1]OUT_TransportEnergyCons!$A$3:$A$1000)*1,("var_fout"=[1]OUT_TransportEnergyCons!$B$3:$B$1000)*1,ISNUMBER(SEARCH("TPBSc",[1]OUT_TransportEnergyCons!$C$3:$C$1000))*1,[1]OUT_TransportEnergyCons!D$3:D$1000)</f>
        <v>1.3739006303287128E-3</v>
      </c>
      <c r="G1452" s="1" cm="1">
        <f t="array" ref="G1452">SUMPRODUCT(("T_B_c-ICEngaEXT"=[1]OUT_TransportEnergyCons!$A$3:$A$1000)*1,("var_fout"=[1]OUT_TransportEnergyCons!$B$3:$B$1000)*1,ISNUMBER(SEARCH("TPBSc",[1]OUT_TransportEnergyCons!$C$3:$C$1000))*1,[1]OUT_TransportEnergyCons!E$3:E$1000)</f>
        <v>1.1147010679910118E-3</v>
      </c>
      <c r="H1452" s="1" cm="1">
        <f t="array" ref="H1452">SUMPRODUCT(("T_B_c-ICEngaEXT"=[1]OUT_TransportEnergyCons!$A$3:$A$1000)*1,("var_fout"=[1]OUT_TransportEnergyCons!$B$3:$B$1000)*1,ISNUMBER(SEARCH("TPBSc",[1]OUT_TransportEnergyCons!$C$3:$C$1000))*1,[1]OUT_TransportEnergyCons!F$3:F$1000)</f>
        <v>6.9266102841784275E-4</v>
      </c>
      <c r="I1452" s="1" cm="1">
        <f t="array" ref="I1452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SUMPRODUCT(("T_B_c-ICEngaEXT"=[1]OUT_TransportEnergyCons!$A$3:$A$1000)*1,("var_fout"=[1]OUT_TransportEnergyCons!$B$3:$B$1000)*1,ISNUMBER(SEARCH("TPBSc",[1]OUT_TransportEnergyCons!$C$3:$C$1000))*1,[1]OUT_TransportEnergyCons!I$3:I$1000)</f>
        <v>0</v>
      </c>
    </row>
    <row r="1453" spans="2:11" x14ac:dyDescent="0.35">
      <c r="B1453" s="5" t="str">
        <f t="shared" si="833"/>
        <v>SPS3</v>
      </c>
      <c r="C1453" s="5" t="str">
        <f t="shared" si="882"/>
        <v>CH</v>
      </c>
      <c r="D1453" t="s">
        <v>1446</v>
      </c>
      <c r="E1453" t="str">
        <f t="shared" si="883"/>
        <v>billion km/yr.</v>
      </c>
      <c r="F1453" s="1" cm="1">
        <f t="array" ref="F1453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3" s="1" cm="1">
        <f t="array" ref="G1453">SUMPRODUCT(("T_B_c-ICEnga-S1"=[1]OUT_TransportEnergyCons!$A$3:$A$1000)*1,("var_fout"=[1]OUT_TransportEnergyCons!$B$3:$B$1000)*1,ISNUMBER(SEARCH("TPBSc",[1]OUT_TransportEnergyCons!$C$3:$C$1000))*1,[1]OUT_TransportEnergyCons!E$3:E$1000)</f>
        <v>9.3271612645249515E-6</v>
      </c>
      <c r="H1453" s="1" cm="1">
        <f t="array" ref="H1453">SUMPRODUCT(("T_B_c-ICEnga-S1"=[1]OUT_TransportEnergyCons!$A$3:$A$1000)*1,("var_fout"=[1]OUT_TransportEnergyCons!$B$3:$B$1000)*1,ISNUMBER(SEARCH("TPBSc",[1]OUT_TransportEnergyCons!$C$3:$C$1000))*1,[1]OUT_TransportEnergyCons!F$3:F$1000)</f>
        <v>9.7745617388918344E-5</v>
      </c>
      <c r="I1453" s="1" cm="1">
        <f t="array" ref="I1453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SUMPRODUCT(("T_B_c-ICEnga-S1"=[1]OUT_TransportEnergyCons!$A$3:$A$1000)*1,("var_fout"=[1]OUT_TransportEnergyCons!$B$3:$B$1000)*1,ISNUMBER(SEARCH("TPBSc",[1]OUT_TransportEnergyCons!$C$3:$C$1000))*1,[1]OUT_TransportEnergyCons!H$3:H$1000)</f>
        <v>1.9543448489180678E-6</v>
      </c>
      <c r="K1453" s="1" cm="1">
        <f t="array" ref="K1453">SUMPRODUCT(("T_B_c-ICEnga-S1"=[1]OUT_TransportEnergyCons!$A$3:$A$1000)*1,("var_fout"=[1]OUT_TransportEnergyCons!$B$3:$B$1000)*1,ISNUMBER(SEARCH("TPBSc",[1]OUT_TransportEnergyCons!$C$3:$C$1000))*1,[1]OUT_TransportEnergyCons!I$3:I$1000)</f>
        <v>7.0223409636883091E-7</v>
      </c>
    </row>
    <row r="1454" spans="2:11" x14ac:dyDescent="0.35">
      <c r="B1454" s="5" t="str">
        <f t="shared" si="833"/>
        <v>SPS3</v>
      </c>
      <c r="C1454" s="5" t="str">
        <f t="shared" si="882"/>
        <v>CH</v>
      </c>
      <c r="D1454" t="s">
        <v>1447</v>
      </c>
      <c r="E1454" t="str">
        <f t="shared" si="883"/>
        <v>billion km/yr.</v>
      </c>
      <c r="F1454" s="1" cm="1">
        <f t="array" ref="F1454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4" s="1" cm="1">
        <f t="array" ref="G1454">SUMPRODUCT(("T_B_c-ICEnga-S2"=[1]OUT_TransportEnergyCons!$A$3:$A$1000)*1,("var_fout"=[1]OUT_TransportEnergyCons!$B$3:$B$1000)*1,ISNUMBER(SEARCH("TPBSc",[1]OUT_TransportEnergyCons!$C$3:$C$1000))*1,[1]OUT_TransportEnergyCons!E$3:E$1000)</f>
        <v>5.4381756365041396E-6</v>
      </c>
      <c r="H1454" s="1" cm="1">
        <f t="array" ref="H1454">SUMPRODUCT(("T_B_c-ICEnga-S2"=[1]OUT_TransportEnergyCons!$A$3:$A$1000)*1,("var_fout"=[1]OUT_TransportEnergyCons!$B$3:$B$1000)*1,ISNUMBER(SEARCH("TPBSc",[1]OUT_TransportEnergyCons!$C$3:$C$1000))*1,[1]OUT_TransportEnergyCons!F$3:F$1000)</f>
        <v>7.8965030695455238E-5</v>
      </c>
      <c r="I1454" s="1" cm="1">
        <f t="array" ref="I1454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SUMPRODUCT(("T_B_c-ICEnga-S2"=[1]OUT_TransportEnergyCons!$A$3:$A$1000)*1,("var_fout"=[1]OUT_TransportEnergyCons!$B$3:$B$1000)*1,ISNUMBER(SEARCH("TPBSc",[1]OUT_TransportEnergyCons!$C$3:$C$1000))*1,[1]OUT_TransportEnergyCons!H$3:H$1000)</f>
        <v>1.5229865637324549E-6</v>
      </c>
      <c r="K1454" s="1" cm="1">
        <f t="array" ref="K1454">SUMPRODUCT(("T_B_c-ICEnga-S2"=[1]OUT_TransportEnergyCons!$A$3:$A$1000)*1,("var_fout"=[1]OUT_TransportEnergyCons!$B$3:$B$1000)*1,ISNUMBER(SEARCH("TPBSc",[1]OUT_TransportEnergyCons!$C$3:$C$1000))*1,[1]OUT_TransportEnergyCons!I$3:I$1000)</f>
        <v>0</v>
      </c>
    </row>
    <row r="1455" spans="2:11" x14ac:dyDescent="0.35">
      <c r="B1455" s="5" t="str">
        <f t="shared" si="833"/>
        <v>SPS3</v>
      </c>
      <c r="C1455" s="5" t="str">
        <f t="shared" si="882"/>
        <v>CH</v>
      </c>
      <c r="D1455" t="s">
        <v>1448</v>
      </c>
      <c r="E1455" t="str">
        <f t="shared" si="883"/>
        <v>billion km/yr.</v>
      </c>
      <c r="F1455" s="1" cm="1">
        <f t="array" ref="F1455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SUMPRODUCT(("T_B_c-ICEnga-S3"=[1]OUT_TransportEnergyCons!$A$3:$A$1000)*1,("var_fout"=[1]OUT_TransportEnergyCons!$B$3:$B$1000)*1,ISNUMBER(SEARCH("TPBSc",[1]OUT_TransportEnergyCons!$C$3:$C$1000))*1,[1]OUT_TransportEnergyCons!E$3:E$1000)</f>
        <v>2.8397531191316778E-6</v>
      </c>
      <c r="H1455" s="1" cm="1">
        <f t="array" ref="H1455">SUMPRODUCT(("T_B_c-ICEnga-S3"=[1]OUT_TransportEnergyCons!$A$3:$A$1000)*1,("var_fout"=[1]OUT_TransportEnergyCons!$B$3:$B$1000)*1,ISNUMBER(SEARCH("TPBSc",[1]OUT_TransportEnergyCons!$C$3:$C$1000))*1,[1]OUT_TransportEnergyCons!F$3:F$1000)</f>
        <v>3.0354293026367745E-5</v>
      </c>
      <c r="I1455" s="1" cm="1">
        <f t="array" ref="I1455">SUMPRODUCT(("T_B_c-ICEnga-S3"=[1]OUT_TransportEnergyCons!$A$3:$A$1000)*1,("var_fout"=[1]OUT_TransportEnergyCons!$B$3:$B$1000)*1,ISNUMBER(SEARCH("TPBSc",[1]OUT_TransportEnergyCons!$C$3:$C$1000))*1,[1]OUT_TransportEnergyCons!G$3:G$1000)</f>
        <v>1.7672426042476522E-7</v>
      </c>
      <c r="J1455" s="1" cm="1">
        <f t="array" ref="J1455">SUMPRODUCT(("T_B_c-ICEnga-S3"=[1]OUT_TransportEnergyCons!$A$3:$A$1000)*1,("var_fout"=[1]OUT_TransportEnergyCons!$B$3:$B$1000)*1,ISNUMBER(SEARCH("TPBSc",[1]OUT_TransportEnergyCons!$C$3:$C$1000))*1,[1]OUT_TransportEnergyCons!H$3:H$1000)</f>
        <v>1.234822173423154E-6</v>
      </c>
      <c r="K1455" s="1" cm="1">
        <f t="array" ref="K1455">SUMPRODUCT(("T_B_c-ICEnga-S3"=[1]OUT_TransportEnergyCons!$A$3:$A$1000)*1,("var_fout"=[1]OUT_TransportEnergyCons!$B$3:$B$1000)*1,ISNUMBER(SEARCH("TPBSc",[1]OUT_TransportEnergyCons!$C$3:$C$1000))*1,[1]OUT_TransportEnergyCons!I$3:I$1000)</f>
        <v>0</v>
      </c>
    </row>
    <row r="1456" spans="2:11" x14ac:dyDescent="0.35">
      <c r="B1456" s="5" t="str">
        <f t="shared" si="833"/>
        <v>SPS3</v>
      </c>
      <c r="C1456" s="5" t="str">
        <f t="shared" si="882"/>
        <v>CH</v>
      </c>
      <c r="D1456" t="s">
        <v>1449</v>
      </c>
      <c r="E1456" t="str">
        <f t="shared" si="883"/>
        <v>billion km/yr.</v>
      </c>
      <c r="F1456" s="1" cm="1">
        <f t="array" ref="F1456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SUMPRODUCT(("T_B_c-ICEnga-S4"=[1]OUT_TransportEnergyCons!$A$3:$A$1000)*1,("var_fout"=[1]OUT_TransportEnergyCons!$B$3:$B$1000)*1,ISNUMBER(SEARCH("TPBSc",[1]OUT_TransportEnergyCons!$C$3:$C$1000))*1,[1]OUT_TransportEnergyCons!E$3:E$1000)</f>
        <v>1.4159535105703763E-7</v>
      </c>
      <c r="H1456" s="1" cm="1">
        <f t="array" ref="H1456">SUMPRODUCT(("T_B_c-ICEnga-S4"=[1]OUT_TransportEnergyCons!$A$3:$A$1000)*1,("var_fout"=[1]OUT_TransportEnergyCons!$B$3:$B$1000)*1,ISNUMBER(SEARCH("TPBSc",[1]OUT_TransportEnergyCons!$C$3:$C$1000))*1,[1]OUT_TransportEnergyCons!F$3:F$1000)</f>
        <v>4.5632719735236771E-6</v>
      </c>
      <c r="I1456" s="1" cm="1">
        <f t="array" ref="I1456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SUMPRODUCT(("T_B_c-ICEnga-S4"=[1]OUT_TransportEnergyCons!$A$3:$A$1000)*1,("var_fout"=[1]OUT_TransportEnergyCons!$B$3:$B$1000)*1,ISNUMBER(SEARCH("TPBSc",[1]OUT_TransportEnergyCons!$C$3:$C$1000))*1,[1]OUT_TransportEnergyCons!H$3:H$1000)</f>
        <v>2.121742657582621E-6</v>
      </c>
      <c r="K1456" s="1" cm="1">
        <f t="array" ref="K1456">SUMPRODUCT(("T_B_c-ICEnga-S4"=[1]OUT_TransportEnergyCons!$A$3:$A$1000)*1,("var_fout"=[1]OUT_TransportEnergyCons!$B$3:$B$1000)*1,ISNUMBER(SEARCH("TPBSc",[1]OUT_TransportEnergyCons!$C$3:$C$1000))*1,[1]OUT_TransportEnergyCons!I$3:I$1000)</f>
        <v>0</v>
      </c>
    </row>
    <row r="1457" spans="2:11" x14ac:dyDescent="0.35">
      <c r="B1457" s="5" t="str">
        <f t="shared" si="833"/>
        <v>SPS3</v>
      </c>
      <c r="C1457" s="5" t="str">
        <f>C1456</f>
        <v>CH</v>
      </c>
      <c r="D1457" s="2" t="s">
        <v>1394</v>
      </c>
      <c r="E1457" s="2" t="s">
        <v>1230</v>
      </c>
      <c r="F1457" s="21" t="s">
        <v>292</v>
      </c>
      <c r="G1457" s="21" t="s">
        <v>292</v>
      </c>
      <c r="H1457" s="21" t="s">
        <v>292</v>
      </c>
      <c r="I1457" s="21" t="s">
        <v>292</v>
      </c>
      <c r="J1457" s="21" t="s">
        <v>292</v>
      </c>
      <c r="K1457" s="21" t="s">
        <v>292</v>
      </c>
    </row>
    <row r="1458" spans="2:11" x14ac:dyDescent="0.35">
      <c r="B1458" s="5" t="str">
        <f t="shared" si="833"/>
        <v>SPS3</v>
      </c>
      <c r="C1458" s="5" t="str">
        <f t="shared" ref="C1458:C1480" si="884">C1457</f>
        <v>CH</v>
      </c>
      <c r="D1458" t="s">
        <v>1450</v>
      </c>
      <c r="E1458" t="s">
        <v>1230</v>
      </c>
      <c r="F1458" s="1" t="str">
        <f>IFERROR(F1434/F1399,"-")</f>
        <v>-</v>
      </c>
      <c r="G1458" s="1" t="str">
        <f t="shared" ref="G1458:K1458" si="885">IFERROR(G1434/G1399,"-")</f>
        <v>-</v>
      </c>
      <c r="H1458" s="1" t="str">
        <f t="shared" si="885"/>
        <v>-</v>
      </c>
      <c r="I1458" s="1" t="str">
        <f t="shared" si="885"/>
        <v>-</v>
      </c>
      <c r="J1458" s="1" t="str">
        <f t="shared" si="885"/>
        <v>-</v>
      </c>
      <c r="K1458" s="1" t="str">
        <f t="shared" si="885"/>
        <v>-</v>
      </c>
    </row>
    <row r="1459" spans="2:11" x14ac:dyDescent="0.35">
      <c r="B1459" s="5" t="str">
        <f t="shared" si="833"/>
        <v>SPS3</v>
      </c>
      <c r="C1459" s="5" t="str">
        <f t="shared" si="884"/>
        <v>CH</v>
      </c>
      <c r="D1459" t="s">
        <v>1451</v>
      </c>
      <c r="E1459" t="s">
        <v>1230</v>
      </c>
      <c r="F1459" s="1">
        <f t="shared" ref="F1459:K1459" si="886">IFERROR(F1435/F1400,"-")</f>
        <v>0.37869321701871833</v>
      </c>
      <c r="G1459" s="1">
        <f t="shared" si="886"/>
        <v>0.38539296370317982</v>
      </c>
      <c r="H1459" s="1">
        <f t="shared" si="886"/>
        <v>0.39887974556282452</v>
      </c>
      <c r="I1459" s="1">
        <f t="shared" si="886"/>
        <v>0.44703350019345334</v>
      </c>
      <c r="J1459" s="1">
        <f t="shared" si="886"/>
        <v>0.47178513909238107</v>
      </c>
      <c r="K1459" s="1">
        <f t="shared" si="886"/>
        <v>0.54146033499048207</v>
      </c>
    </row>
    <row r="1460" spans="2:11" x14ac:dyDescent="0.35">
      <c r="B1460" s="5" t="str">
        <f t="shared" ref="B1460:B1523" si="887">B1459</f>
        <v>SPS3</v>
      </c>
      <c r="C1460" s="5" t="str">
        <f t="shared" si="884"/>
        <v>CH</v>
      </c>
      <c r="D1460" t="s">
        <v>1452</v>
      </c>
      <c r="E1460" t="s">
        <v>1230</v>
      </c>
      <c r="F1460" s="1">
        <f t="shared" ref="F1460:K1460" si="888">IFERROR(F1436/F1401,"-")</f>
        <v>0.27518070496490693</v>
      </c>
      <c r="G1460" s="1">
        <f t="shared" si="888"/>
        <v>0.27898871362778671</v>
      </c>
      <c r="H1460" s="1">
        <f t="shared" si="888"/>
        <v>0.28777216433883995</v>
      </c>
      <c r="I1460" s="1">
        <f t="shared" si="888"/>
        <v>0.32410826994084563</v>
      </c>
      <c r="J1460" s="1">
        <f t="shared" si="888"/>
        <v>0.351562170310599</v>
      </c>
      <c r="K1460" s="1">
        <f t="shared" si="888"/>
        <v>0.37744143451459294</v>
      </c>
    </row>
    <row r="1461" spans="2:11" x14ac:dyDescent="0.35">
      <c r="B1461" s="5" t="str">
        <f t="shared" si="887"/>
        <v>SPS3</v>
      </c>
      <c r="C1461" s="5" t="str">
        <f t="shared" si="884"/>
        <v>CH</v>
      </c>
      <c r="D1461" t="s">
        <v>1453</v>
      </c>
      <c r="E1461" t="s">
        <v>1230</v>
      </c>
      <c r="F1461" s="1">
        <f t="shared" ref="F1461:K1461" si="889">IFERROR(F1437/F1402,"-")</f>
        <v>0.18297040713439883</v>
      </c>
      <c r="G1461" s="1">
        <f t="shared" si="889"/>
        <v>0.18520878395424928</v>
      </c>
      <c r="H1461" s="1">
        <f t="shared" si="889"/>
        <v>0.18887225456575973</v>
      </c>
      <c r="I1461" s="1">
        <f t="shared" si="889"/>
        <v>0.20712098649942637</v>
      </c>
      <c r="J1461" s="1">
        <f t="shared" si="889"/>
        <v>0.23557468930154574</v>
      </c>
      <c r="K1461" s="1">
        <f t="shared" si="889"/>
        <v>0.25606010580657546</v>
      </c>
    </row>
    <row r="1462" spans="2:11" x14ac:dyDescent="0.35">
      <c r="B1462" s="5" t="str">
        <f t="shared" si="887"/>
        <v>SPS3</v>
      </c>
      <c r="C1462" s="5" t="str">
        <f t="shared" si="884"/>
        <v>CH</v>
      </c>
      <c r="D1462" t="s">
        <v>1454</v>
      </c>
      <c r="E1462" t="s">
        <v>1230</v>
      </c>
      <c r="F1462" s="1" t="str">
        <f t="shared" ref="F1462:K1462" si="890">IFERROR(F1438/F1403,"-")</f>
        <v>-</v>
      </c>
      <c r="G1462" s="1">
        <f t="shared" si="890"/>
        <v>0.12643429100140419</v>
      </c>
      <c r="H1462" s="1">
        <f t="shared" si="890"/>
        <v>0.12965565258028444</v>
      </c>
      <c r="I1462" s="1">
        <f t="shared" si="890"/>
        <v>0.13866647038222157</v>
      </c>
      <c r="J1462" s="1">
        <f t="shared" si="890"/>
        <v>0.15823588549494452</v>
      </c>
      <c r="K1462" s="1">
        <f t="shared" si="890"/>
        <v>0.1712564464248367</v>
      </c>
    </row>
    <row r="1463" spans="2:11" x14ac:dyDescent="0.35">
      <c r="B1463" s="5" t="str">
        <f t="shared" si="887"/>
        <v>SPS3</v>
      </c>
      <c r="C1463" s="5" t="str">
        <f t="shared" si="884"/>
        <v>CH</v>
      </c>
      <c r="D1463" t="s">
        <v>1455</v>
      </c>
      <c r="E1463" t="s">
        <v>1230</v>
      </c>
      <c r="F1463" s="1" t="str">
        <f>IFERROR(F1439/F1405,"-")</f>
        <v>-</v>
      </c>
      <c r="G1463" s="1" t="str">
        <f t="shared" ref="G1463:K1463" si="891">IFERROR(G1439/G1405,"-")</f>
        <v>-</v>
      </c>
      <c r="H1463" s="1" t="str">
        <f t="shared" si="891"/>
        <v>-</v>
      </c>
      <c r="I1463" s="1" t="str">
        <f t="shared" si="891"/>
        <v>-</v>
      </c>
      <c r="J1463" s="1" t="str">
        <f t="shared" si="891"/>
        <v>-</v>
      </c>
      <c r="K1463" s="1" t="str">
        <f t="shared" si="891"/>
        <v>-</v>
      </c>
    </row>
    <row r="1464" spans="2:11" x14ac:dyDescent="0.35">
      <c r="B1464" s="5" t="str">
        <f t="shared" si="887"/>
        <v>SPS3</v>
      </c>
      <c r="C1464" s="5" t="str">
        <f t="shared" si="884"/>
        <v>CH</v>
      </c>
      <c r="D1464" t="s">
        <v>1456</v>
      </c>
      <c r="E1464" t="s">
        <v>1230</v>
      </c>
      <c r="F1464" s="1" t="str">
        <f t="shared" ref="F1464:K1464" si="892">IFERROR(F1440/F1406,"-")</f>
        <v>-</v>
      </c>
      <c r="G1464" s="1" t="str">
        <f t="shared" si="892"/>
        <v>-</v>
      </c>
      <c r="H1464" s="1" t="str">
        <f t="shared" si="892"/>
        <v>-</v>
      </c>
      <c r="I1464" s="1" t="str">
        <f t="shared" si="892"/>
        <v>-</v>
      </c>
      <c r="J1464" s="1">
        <f t="shared" si="892"/>
        <v>0.19395720156751373</v>
      </c>
      <c r="K1464" s="1" t="str">
        <f t="shared" si="892"/>
        <v>-</v>
      </c>
    </row>
    <row r="1465" spans="2:11" x14ac:dyDescent="0.35">
      <c r="B1465" s="5" t="str">
        <f t="shared" si="887"/>
        <v>SPS3</v>
      </c>
      <c r="C1465" s="5" t="str">
        <f t="shared" si="884"/>
        <v>CH</v>
      </c>
      <c r="D1465" t="s">
        <v>1457</v>
      </c>
      <c r="E1465" t="s">
        <v>1230</v>
      </c>
      <c r="F1465" s="1" t="str">
        <f t="shared" ref="F1465:K1465" si="893">IFERROR(F1441/F1407,"-")</f>
        <v>-</v>
      </c>
      <c r="G1465" s="1" t="str">
        <f t="shared" si="893"/>
        <v>-</v>
      </c>
      <c r="H1465" s="1" t="str">
        <f t="shared" si="893"/>
        <v>-</v>
      </c>
      <c r="I1465" s="1" t="str">
        <f t="shared" si="893"/>
        <v>-</v>
      </c>
      <c r="J1465" s="1">
        <f t="shared" si="893"/>
        <v>0.12984912198953519</v>
      </c>
      <c r="K1465" s="1">
        <f t="shared" si="893"/>
        <v>0.14658985260534713</v>
      </c>
    </row>
    <row r="1466" spans="2:11" x14ac:dyDescent="0.35">
      <c r="B1466" s="5" t="str">
        <f t="shared" si="887"/>
        <v>SPS3</v>
      </c>
      <c r="C1466" s="5" t="str">
        <f t="shared" si="884"/>
        <v>CH</v>
      </c>
      <c r="D1466" t="s">
        <v>1458</v>
      </c>
      <c r="E1466" t="s">
        <v>1230</v>
      </c>
      <c r="F1466" s="1" t="str">
        <f t="shared" ref="F1466:K1466" si="894">IFERROR(F1442/F1408,"-")</f>
        <v>-</v>
      </c>
      <c r="G1466" s="1" t="str">
        <f t="shared" si="894"/>
        <v>-</v>
      </c>
      <c r="H1466" s="1" t="str">
        <f t="shared" si="894"/>
        <v>-</v>
      </c>
      <c r="I1466" s="1" t="str">
        <f t="shared" si="894"/>
        <v>-</v>
      </c>
      <c r="J1466" s="1">
        <f t="shared" si="894"/>
        <v>8.1535921460192354E-2</v>
      </c>
      <c r="K1466" s="1" t="str">
        <f t="shared" si="894"/>
        <v>-</v>
      </c>
    </row>
    <row r="1467" spans="2:11" x14ac:dyDescent="0.35">
      <c r="B1467" s="5" t="str">
        <f t="shared" si="887"/>
        <v>SPS3</v>
      </c>
      <c r="C1467" s="5" t="str">
        <f t="shared" si="884"/>
        <v>CH</v>
      </c>
      <c r="D1467" t="s">
        <v>1459</v>
      </c>
      <c r="E1467" t="s">
        <v>1230</v>
      </c>
      <c r="F1467" s="1" t="str">
        <f>IFERROR(F1443/F1414,"-")</f>
        <v>-</v>
      </c>
      <c r="G1467" s="1">
        <f t="shared" ref="G1467:K1467" si="895">IFERROR(G1443/G1414,"-")</f>
        <v>0.16251369968883858</v>
      </c>
      <c r="H1467" s="1">
        <f t="shared" si="895"/>
        <v>0.16373144662426842</v>
      </c>
      <c r="I1467" s="1">
        <f t="shared" si="895"/>
        <v>0.17491528014721044</v>
      </c>
      <c r="J1467" s="1">
        <f t="shared" si="895"/>
        <v>0.20235267437396068</v>
      </c>
      <c r="K1467" s="1">
        <f t="shared" si="895"/>
        <v>0.22476194462743906</v>
      </c>
    </row>
    <row r="1468" spans="2:11" x14ac:dyDescent="0.35">
      <c r="B1468" s="5" t="str">
        <f t="shared" si="887"/>
        <v>SPS3</v>
      </c>
      <c r="C1468" s="5" t="str">
        <f t="shared" si="884"/>
        <v>CH</v>
      </c>
      <c r="D1468" t="s">
        <v>1460</v>
      </c>
      <c r="E1468" t="s">
        <v>1230</v>
      </c>
      <c r="F1468" s="1" t="str">
        <f t="shared" ref="F1468:K1468" si="896">IFERROR(F1444/F1415,"-")</f>
        <v>-</v>
      </c>
      <c r="G1468" s="1">
        <f t="shared" si="896"/>
        <v>0.11649393435744146</v>
      </c>
      <c r="H1468" s="1">
        <f t="shared" si="896"/>
        <v>0.12215918279639605</v>
      </c>
      <c r="I1468" s="1">
        <f t="shared" si="896"/>
        <v>0.12316754300149718</v>
      </c>
      <c r="J1468" s="1">
        <f t="shared" si="896"/>
        <v>0.13938695122285935</v>
      </c>
      <c r="K1468" s="1">
        <f t="shared" si="896"/>
        <v>0.14861413108356922</v>
      </c>
    </row>
    <row r="1469" spans="2:11" x14ac:dyDescent="0.35">
      <c r="B1469" s="5" t="str">
        <f t="shared" si="887"/>
        <v>SPS3</v>
      </c>
      <c r="C1469" s="5" t="str">
        <f t="shared" si="884"/>
        <v>CH</v>
      </c>
      <c r="D1469" t="s">
        <v>1461</v>
      </c>
      <c r="E1469" t="s">
        <v>1230</v>
      </c>
      <c r="F1469" s="1" t="str">
        <f t="shared" ref="F1469:K1469" si="897">IFERROR(F1445/F1416,"-")</f>
        <v>-</v>
      </c>
      <c r="G1469" s="1">
        <f t="shared" si="897"/>
        <v>7.8235828164578872E-2</v>
      </c>
      <c r="H1469" s="1">
        <f t="shared" si="897"/>
        <v>8.1999675304492078E-2</v>
      </c>
      <c r="I1469" s="1">
        <f t="shared" si="897"/>
        <v>8.8345577352633195E-2</v>
      </c>
      <c r="J1469" s="1">
        <f t="shared" si="897"/>
        <v>9.4830114386308034E-2</v>
      </c>
      <c r="K1469" s="1">
        <f t="shared" si="897"/>
        <v>0.10246527180720932</v>
      </c>
    </row>
    <row r="1470" spans="2:11" x14ac:dyDescent="0.35">
      <c r="B1470" s="5" t="str">
        <f t="shared" si="887"/>
        <v>SPS3</v>
      </c>
      <c r="C1470" s="5" t="str">
        <f t="shared" si="884"/>
        <v>CH</v>
      </c>
      <c r="D1470" t="s">
        <v>1462</v>
      </c>
      <c r="E1470" t="s">
        <v>1230</v>
      </c>
      <c r="F1470" s="1" t="str">
        <f t="shared" ref="F1470:K1470" si="898">IFERROR(F1446/F1417,"-")</f>
        <v>-</v>
      </c>
      <c r="G1470" s="1">
        <f t="shared" si="898"/>
        <v>5.2751439830497751E-2</v>
      </c>
      <c r="H1470" s="1">
        <f t="shared" si="898"/>
        <v>5.3896340367342574E-2</v>
      </c>
      <c r="I1470" s="1">
        <f t="shared" si="898"/>
        <v>5.6978211821226393E-2</v>
      </c>
      <c r="J1470" s="1">
        <f t="shared" si="898"/>
        <v>6.5102210703266369E-2</v>
      </c>
      <c r="K1470" s="1" t="str">
        <f t="shared" si="898"/>
        <v>-</v>
      </c>
    </row>
    <row r="1471" spans="2:11" x14ac:dyDescent="0.35">
      <c r="B1471" s="5" t="str">
        <f t="shared" si="887"/>
        <v>SPS3</v>
      </c>
      <c r="C1471" s="5" t="str">
        <f t="shared" si="884"/>
        <v>CH</v>
      </c>
      <c r="D1471" t="s">
        <v>2118</v>
      </c>
      <c r="E1471" t="s">
        <v>1230</v>
      </c>
      <c r="F1471" s="1">
        <f>IFERROR(F1447/F1418,"-")</f>
        <v>9.9502495941956539</v>
      </c>
      <c r="G1471" s="1">
        <f t="shared" ref="G1471:K1471" si="899">IFERROR(G1447/G1418,"-")</f>
        <v>7.9797266512003144</v>
      </c>
      <c r="H1471" s="1">
        <f t="shared" si="899"/>
        <v>5.0239422367072928</v>
      </c>
      <c r="I1471" s="1" t="str">
        <f t="shared" si="899"/>
        <v>-</v>
      </c>
      <c r="J1471" s="1" t="str">
        <f t="shared" si="899"/>
        <v>-</v>
      </c>
      <c r="K1471" s="1" t="str">
        <f t="shared" si="899"/>
        <v>-</v>
      </c>
    </row>
    <row r="1472" spans="2:11" x14ac:dyDescent="0.35">
      <c r="B1472" s="5" t="str">
        <f t="shared" si="887"/>
        <v>SPS3</v>
      </c>
      <c r="C1472" s="5" t="str">
        <f t="shared" si="884"/>
        <v>CH</v>
      </c>
      <c r="D1472" t="s">
        <v>1463</v>
      </c>
      <c r="E1472" t="s">
        <v>1230</v>
      </c>
      <c r="F1472" s="1">
        <f t="shared" ref="F1472:K1472" si="900">IFERROR(F1448/F1419,"-")</f>
        <v>0.12391916748597492</v>
      </c>
      <c r="G1472" s="1">
        <f t="shared" si="900"/>
        <v>0.12667539191676616</v>
      </c>
      <c r="H1472" s="1">
        <f t="shared" si="900"/>
        <v>0.1282202152929825</v>
      </c>
      <c r="I1472" s="1" t="str">
        <f t="shared" si="900"/>
        <v>-</v>
      </c>
      <c r="J1472" s="1">
        <f t="shared" si="900"/>
        <v>0.16173679502568011</v>
      </c>
      <c r="K1472" s="1">
        <f t="shared" si="900"/>
        <v>0.17864768698655795</v>
      </c>
    </row>
    <row r="1473" spans="2:11" x14ac:dyDescent="0.35">
      <c r="B1473" s="5" t="str">
        <f t="shared" si="887"/>
        <v>SPS3</v>
      </c>
      <c r="C1473" s="5" t="str">
        <f t="shared" si="884"/>
        <v>CH</v>
      </c>
      <c r="D1473" t="s">
        <v>1464</v>
      </c>
      <c r="E1473" t="s">
        <v>1230</v>
      </c>
      <c r="F1473" s="1">
        <f t="shared" ref="F1473:K1473" si="901">IFERROR(F1449/F1420,"-")</f>
        <v>8.7465847585616721E-2</v>
      </c>
      <c r="G1473" s="1">
        <f t="shared" si="901"/>
        <v>8.7808147521775196E-2</v>
      </c>
      <c r="H1473" s="1">
        <f t="shared" si="901"/>
        <v>8.7800484549722307E-2</v>
      </c>
      <c r="I1473" s="1" t="str">
        <f t="shared" si="901"/>
        <v>-</v>
      </c>
      <c r="J1473" s="1">
        <f t="shared" si="901"/>
        <v>0.10811986910016971</v>
      </c>
      <c r="K1473" s="1" t="str">
        <f t="shared" si="901"/>
        <v>-</v>
      </c>
    </row>
    <row r="1474" spans="2:11" x14ac:dyDescent="0.35">
      <c r="B1474" s="5" t="str">
        <f t="shared" si="887"/>
        <v>SPS3</v>
      </c>
      <c r="C1474" s="5" t="str">
        <f t="shared" si="884"/>
        <v>CH</v>
      </c>
      <c r="D1474" t="s">
        <v>1465</v>
      </c>
      <c r="E1474" t="s">
        <v>1230</v>
      </c>
      <c r="F1474" s="1">
        <f t="shared" ref="F1474:K1474" si="902">IFERROR(F1450/F1421,"-")</f>
        <v>5.7949527986548607E-2</v>
      </c>
      <c r="G1474" s="1">
        <f t="shared" si="902"/>
        <v>5.8176161630458807E-2</v>
      </c>
      <c r="H1474" s="1">
        <f t="shared" si="902"/>
        <v>5.8178454644556017E-2</v>
      </c>
      <c r="I1474" s="1" t="str">
        <f t="shared" si="902"/>
        <v>-</v>
      </c>
      <c r="J1474" s="1">
        <f t="shared" si="902"/>
        <v>7.4675798168473792E-2</v>
      </c>
      <c r="K1474" s="1" t="str">
        <f t="shared" si="902"/>
        <v>-</v>
      </c>
    </row>
    <row r="1475" spans="2:11" x14ac:dyDescent="0.35">
      <c r="B1475" s="5" t="str">
        <f t="shared" si="887"/>
        <v>SPS3</v>
      </c>
      <c r="C1475" s="5" t="str">
        <f t="shared" si="884"/>
        <v>CH</v>
      </c>
      <c r="D1475" t="s">
        <v>1466</v>
      </c>
      <c r="E1475" t="s">
        <v>1230</v>
      </c>
      <c r="F1475" s="1">
        <f t="shared" ref="F1475:K1475" si="903">IFERROR(F1451/F1422,"-")</f>
        <v>3.8646481387947532E-2</v>
      </c>
      <c r="G1475" s="1">
        <f t="shared" si="903"/>
        <v>3.8962889272843672E-2</v>
      </c>
      <c r="H1475" s="1">
        <f t="shared" si="903"/>
        <v>3.9232931243324713E-2</v>
      </c>
      <c r="I1475" s="1" t="str">
        <f t="shared" si="903"/>
        <v>-</v>
      </c>
      <c r="J1475" s="1">
        <f t="shared" si="903"/>
        <v>4.9393728595967877E-2</v>
      </c>
      <c r="K1475" s="1" t="str">
        <f t="shared" si="903"/>
        <v>-</v>
      </c>
    </row>
    <row r="1476" spans="2:11" x14ac:dyDescent="0.35">
      <c r="B1476" s="5" t="str">
        <f t="shared" si="887"/>
        <v>SPS3</v>
      </c>
      <c r="C1476" s="5" t="str">
        <f t="shared" si="884"/>
        <v>CH</v>
      </c>
      <c r="D1476" t="s">
        <v>2121</v>
      </c>
      <c r="E1476" t="s">
        <v>1230</v>
      </c>
      <c r="F1476" s="1">
        <f>IFERROR(F1452/F1428,"-")</f>
        <v>9.9502495941956557</v>
      </c>
      <c r="G1476" s="1">
        <f t="shared" ref="G1476:K1476" si="904">IFERROR(G1452/G1428,"-")</f>
        <v>7.9767976048237506</v>
      </c>
      <c r="H1476" s="1">
        <f t="shared" si="904"/>
        <v>5.016619620765872</v>
      </c>
      <c r="I1476" s="1" t="str">
        <f t="shared" si="904"/>
        <v>-</v>
      </c>
      <c r="J1476" s="1" t="str">
        <f t="shared" si="904"/>
        <v>-</v>
      </c>
      <c r="K1476" s="1" t="str">
        <f t="shared" si="904"/>
        <v>-</v>
      </c>
    </row>
    <row r="1477" spans="2:11" x14ac:dyDescent="0.35">
      <c r="B1477" s="5" t="str">
        <f t="shared" si="887"/>
        <v>SPS3</v>
      </c>
      <c r="C1477" s="5" t="str">
        <f t="shared" si="884"/>
        <v>CH</v>
      </c>
      <c r="D1477" t="s">
        <v>1467</v>
      </c>
      <c r="E1477" t="s">
        <v>1230</v>
      </c>
      <c r="F1477" s="1" t="str">
        <f t="shared" ref="F1477:K1477" si="905">IFERROR(F1453/F1429,"-")</f>
        <v>-</v>
      </c>
      <c r="G1477" s="1">
        <f t="shared" si="905"/>
        <v>0.12023751974847233</v>
      </c>
      <c r="H1477" s="1">
        <f t="shared" si="905"/>
        <v>0.1259204573240604</v>
      </c>
      <c r="I1477" s="1" t="str">
        <f t="shared" si="905"/>
        <v>-</v>
      </c>
      <c r="J1477" s="1">
        <f t="shared" si="905"/>
        <v>0.15107012213684781</v>
      </c>
      <c r="K1477" s="1">
        <f t="shared" si="905"/>
        <v>0.16808063205466892</v>
      </c>
    </row>
    <row r="1478" spans="2:11" x14ac:dyDescent="0.35">
      <c r="B1478" s="5" t="str">
        <f t="shared" si="887"/>
        <v>SPS3</v>
      </c>
      <c r="C1478" s="5" t="str">
        <f t="shared" si="884"/>
        <v>CH</v>
      </c>
      <c r="D1478" t="s">
        <v>1468</v>
      </c>
      <c r="E1478" t="s">
        <v>1230</v>
      </c>
      <c r="F1478" s="1" t="str">
        <f t="shared" ref="F1478:K1478" si="906">IFERROR(F1454/F1430,"-")</f>
        <v>-</v>
      </c>
      <c r="G1478" s="1">
        <f t="shared" si="906"/>
        <v>8.4998076233608846E-2</v>
      </c>
      <c r="H1478" s="1">
        <f t="shared" si="906"/>
        <v>8.8994317380598154E-2</v>
      </c>
      <c r="I1478" s="1" t="str">
        <f t="shared" si="906"/>
        <v>-</v>
      </c>
      <c r="J1478" s="1">
        <f t="shared" si="906"/>
        <v>0.10336749387493904</v>
      </c>
      <c r="K1478" s="1" t="str">
        <f t="shared" si="906"/>
        <v>-</v>
      </c>
    </row>
    <row r="1479" spans="2:11" x14ac:dyDescent="0.35">
      <c r="B1479" s="5" t="str">
        <f t="shared" si="887"/>
        <v>SPS3</v>
      </c>
      <c r="C1479" s="5" t="str">
        <f t="shared" si="884"/>
        <v>CH</v>
      </c>
      <c r="D1479" t="s">
        <v>1469</v>
      </c>
      <c r="E1479" t="s">
        <v>1230</v>
      </c>
      <c r="F1479" s="1" t="str">
        <f t="shared" ref="F1479:K1479" si="907">IFERROR(F1455/F1431,"-")</f>
        <v>-</v>
      </c>
      <c r="G1479" s="1">
        <f t="shared" si="907"/>
        <v>5.6422133461237159E-2</v>
      </c>
      <c r="H1479" s="1">
        <f t="shared" si="907"/>
        <v>5.8942745366244845E-2</v>
      </c>
      <c r="I1479" s="1">
        <f t="shared" si="907"/>
        <v>5.6422133461237138E-2</v>
      </c>
      <c r="J1479" s="1">
        <f t="shared" si="907"/>
        <v>7.0448790395862479E-2</v>
      </c>
      <c r="K1479" s="1" t="str">
        <f t="shared" si="907"/>
        <v>-</v>
      </c>
    </row>
    <row r="1480" spans="2:11" x14ac:dyDescent="0.35">
      <c r="B1480" s="5" t="str">
        <f t="shared" si="887"/>
        <v>SPS3</v>
      </c>
      <c r="C1480" s="5" t="str">
        <f t="shared" si="884"/>
        <v>CH</v>
      </c>
      <c r="D1480" t="s">
        <v>1470</v>
      </c>
      <c r="E1480" t="s">
        <v>1230</v>
      </c>
      <c r="F1480" s="1" t="str">
        <f t="shared" ref="F1480:K1480" si="908">IFERROR(F1456/F1432,"-")</f>
        <v>-</v>
      </c>
      <c r="G1480" s="1">
        <f t="shared" si="908"/>
        <v>3.7689157759834391E-2</v>
      </c>
      <c r="H1480" s="1">
        <f t="shared" si="908"/>
        <v>3.9197367401043605E-2</v>
      </c>
      <c r="I1480" s="1" t="str">
        <f t="shared" si="908"/>
        <v>-</v>
      </c>
      <c r="J1480" s="1">
        <f t="shared" si="908"/>
        <v>4.6584107856595877E-2</v>
      </c>
      <c r="K1480" s="1" t="str">
        <f t="shared" si="908"/>
        <v>-</v>
      </c>
    </row>
    <row r="1481" spans="2:11" x14ac:dyDescent="0.35">
      <c r="B1481" s="9" t="str">
        <f t="shared" si="887"/>
        <v>SPS3</v>
      </c>
      <c r="C1481" s="9" t="str">
        <f>C1480</f>
        <v>CH</v>
      </c>
      <c r="D1481" s="2" t="s">
        <v>1474</v>
      </c>
      <c r="E1481" s="2" t="s">
        <v>8</v>
      </c>
      <c r="F1481" s="3">
        <f>F1482</f>
        <v>0.2816422643485601</v>
      </c>
      <c r="G1481" s="3">
        <f t="shared" ref="G1481:K1481" si="909">G1482</f>
        <v>0.30668648626079364</v>
      </c>
      <c r="H1481" s="3">
        <f t="shared" si="909"/>
        <v>0.35149986092475399</v>
      </c>
      <c r="I1481" s="3">
        <f t="shared" si="909"/>
        <v>0.45078090930791764</v>
      </c>
      <c r="J1481" s="3">
        <f t="shared" si="909"/>
        <v>0.47237229295618205</v>
      </c>
      <c r="K1481" s="3">
        <f t="shared" si="909"/>
        <v>0.48809144422268164</v>
      </c>
    </row>
    <row r="1482" spans="2:11" x14ac:dyDescent="0.35">
      <c r="B1482" s="5" t="str">
        <f t="shared" si="887"/>
        <v>SPS3</v>
      </c>
      <c r="C1482" s="5" t="str">
        <f>C1481</f>
        <v>CH</v>
      </c>
      <c r="D1482" t="s">
        <v>1475</v>
      </c>
      <c r="E1482" t="s">
        <v>8</v>
      </c>
      <c r="F1482" s="1">
        <f>F1483</f>
        <v>0.2816422643485601</v>
      </c>
      <c r="G1482" s="1">
        <f t="shared" ref="G1482:K1482" si="910">G1483</f>
        <v>0.30668648626079364</v>
      </c>
      <c r="H1482" s="1">
        <f t="shared" si="910"/>
        <v>0.35149986092475399</v>
      </c>
      <c r="I1482" s="1">
        <f t="shared" si="910"/>
        <v>0.45078090930791764</v>
      </c>
      <c r="J1482" s="1">
        <f t="shared" si="910"/>
        <v>0.47237229295618205</v>
      </c>
      <c r="K1482" s="1">
        <f t="shared" si="910"/>
        <v>0.48809144422268164</v>
      </c>
    </row>
    <row r="1483" spans="2:11" x14ac:dyDescent="0.35">
      <c r="B1483" s="5" t="str">
        <f t="shared" si="887"/>
        <v>SPS3</v>
      </c>
      <c r="C1483" s="5" t="str">
        <f t="shared" ref="C1483" si="911">C1482</f>
        <v>CH</v>
      </c>
      <c r="D1483" t="s">
        <v>1476</v>
      </c>
      <c r="E1483" t="s">
        <v>8</v>
      </c>
      <c r="F1483" s="1" cm="1">
        <f t="array" ref="F1483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3" s="1" cm="1">
        <f t="array" ref="G1483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3" s="1" cm="1">
        <f t="array" ref="H1483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3" s="1" cm="1">
        <f t="array" ref="I1483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3" s="1" cm="1">
        <f t="array" ref="J1483">SUMPRODUCT(("T_TRLY_ELC"=[1]OUT_TransportEnergyCons!$A$3:$A$1000)*1,("Var_Fin"=[1]OUT_TransportEnergyCons!$B$3:$B$1000)*1,ISNUMBER(SEARCH("ELC",[1]OUT_TransportEnergyCons!$C$3:$C$1000))*1,[1]OUT_TransportEnergyCons!H$3:H$1000)</f>
        <v>0.47237229295618205</v>
      </c>
      <c r="K1483" s="1" cm="1">
        <f t="array" ref="K1483">SUMPRODUCT(("T_TRLY_ELC"=[1]OUT_TransportEnergyCons!$A$3:$A$1000)*1,("Var_Fin"=[1]OUT_TransportEnergyCons!$B$3:$B$1000)*1,ISNUMBER(SEARCH("ELC",[1]OUT_TransportEnergyCons!$C$3:$C$1000))*1,[1]OUT_TransportEnergyCons!I$3:I$1000)</f>
        <v>0.48809144422268164</v>
      </c>
    </row>
    <row r="1484" spans="2:11" x14ac:dyDescent="0.35">
      <c r="B1484" s="9" t="str">
        <f t="shared" si="887"/>
        <v>SPS3</v>
      </c>
      <c r="C1484" s="9" t="str">
        <f t="shared" ref="C1484:C1487" si="912">C1483</f>
        <v>CH</v>
      </c>
      <c r="D1484" s="2" t="s">
        <v>1479</v>
      </c>
      <c r="E1484" s="2" t="s">
        <v>1132</v>
      </c>
      <c r="F1484" s="3">
        <f>F1485</f>
        <v>2.7120999999999972E-2</v>
      </c>
      <c r="G1484" s="3">
        <f t="shared" ref="G1484:K1484" si="913">G1485</f>
        <v>2.7782165745480814E-2</v>
      </c>
      <c r="H1484" s="3">
        <f t="shared" si="913"/>
        <v>2.8832315767707572E-2</v>
      </c>
      <c r="I1484" s="3">
        <f t="shared" si="913"/>
        <v>3.0543631535415186E-2</v>
      </c>
      <c r="J1484" s="3">
        <f t="shared" si="913"/>
        <v>3.2006602244411902E-2</v>
      </c>
      <c r="K1484" s="3">
        <f t="shared" si="913"/>
        <v>3.3071687199031086E-2</v>
      </c>
    </row>
    <row r="1485" spans="2:11" x14ac:dyDescent="0.35">
      <c r="B1485" s="5" t="str">
        <f t="shared" si="887"/>
        <v>SPS3</v>
      </c>
      <c r="C1485" s="5" t="str">
        <f t="shared" si="912"/>
        <v>CH</v>
      </c>
      <c r="D1485" t="s">
        <v>1480</v>
      </c>
      <c r="E1485" t="s">
        <v>1132</v>
      </c>
      <c r="F1485" s="1" cm="1">
        <f t="array" ref="F1485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5" s="1" cm="1">
        <f t="array" ref="G1485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5" s="1" cm="1">
        <f t="array" ref="H1485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5" s="1" cm="1">
        <f t="array" ref="I1485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5" s="1" cm="1">
        <f t="array" ref="J1485">SUMPRODUCT(("T_TRLY_ELC"=[1]OUT_TransportEnergyCons!$A$3:$A$1000)*1,("Var_Fout"=[1]OUT_TransportEnergyCons!$B$3:$B$1000)*1,ISNUMBER(SEARCH("tptrly",[1]OUT_TransportEnergyCons!$C$3:$C$1000))*1,[1]OUT_TransportEnergyCons!H$3:H$1000)</f>
        <v>3.2006602244411902E-2</v>
      </c>
      <c r="K1485" s="1" cm="1">
        <f t="array" ref="K1485">SUMPRODUCT(("T_TRLY_ELC"=[1]OUT_TransportEnergyCons!$A$3:$A$1000)*1,("Var_Fout"=[1]OUT_TransportEnergyCons!$B$3:$B$1000)*1,ISNUMBER(SEARCH("tptrly",[1]OUT_TransportEnergyCons!$C$3:$C$1000))*1,[1]OUT_TransportEnergyCons!I$3:I$1000)</f>
        <v>3.3071687199031086E-2</v>
      </c>
    </row>
    <row r="1486" spans="2:11" x14ac:dyDescent="0.35">
      <c r="B1486" s="9" t="str">
        <f t="shared" si="887"/>
        <v>SPS3</v>
      </c>
      <c r="C1486" s="9" t="str">
        <f t="shared" si="912"/>
        <v>CH</v>
      </c>
      <c r="D1486" s="2" t="s">
        <v>1481</v>
      </c>
      <c r="E1486" s="2" t="s">
        <v>1230</v>
      </c>
      <c r="F1486" s="1" t="s">
        <v>292</v>
      </c>
      <c r="G1486" s="1" t="s">
        <v>292</v>
      </c>
      <c r="H1486" s="1" t="s">
        <v>292</v>
      </c>
      <c r="I1486" s="1" t="s">
        <v>292</v>
      </c>
      <c r="J1486" s="1" t="s">
        <v>292</v>
      </c>
      <c r="K1486" s="1" t="s">
        <v>292</v>
      </c>
    </row>
    <row r="1487" spans="2:11" x14ac:dyDescent="0.35">
      <c r="B1487" s="5" t="str">
        <f t="shared" si="887"/>
        <v>SPS3</v>
      </c>
      <c r="C1487" s="5" t="str">
        <f t="shared" si="912"/>
        <v>CH</v>
      </c>
      <c r="D1487" t="s">
        <v>1482</v>
      </c>
      <c r="E1487" t="str">
        <f>E1486</f>
        <v>km/MJ</v>
      </c>
      <c r="F1487" s="1">
        <f>F1485/F1483</f>
        <v>9.6295916604459117E-2</v>
      </c>
      <c r="G1487" s="1">
        <f t="shared" ref="G1487:K1487" si="914">G1485/G1483</f>
        <v>9.0588164102724744E-2</v>
      </c>
      <c r="H1487" s="1">
        <f t="shared" si="914"/>
        <v>8.2026535350122776E-2</v>
      </c>
      <c r="I1487" s="1">
        <f t="shared" si="914"/>
        <v>6.7757154095786171E-2</v>
      </c>
      <c r="J1487" s="1">
        <f t="shared" si="914"/>
        <v>6.7757154095786226E-2</v>
      </c>
      <c r="K1487" s="1">
        <f t="shared" si="914"/>
        <v>6.7757154095786226E-2</v>
      </c>
    </row>
    <row r="1488" spans="2:11" x14ac:dyDescent="0.35">
      <c r="B1488" s="9" t="str">
        <f t="shared" si="887"/>
        <v>SPS3</v>
      </c>
      <c r="C1488" s="9" t="str">
        <f>C1483</f>
        <v>CH</v>
      </c>
      <c r="D1488" s="2" t="s">
        <v>1473</v>
      </c>
      <c r="E1488" s="2" t="s">
        <v>8</v>
      </c>
      <c r="F1488" s="3">
        <f>F1489</f>
        <v>0.58772895164057959</v>
      </c>
      <c r="G1488" s="3">
        <f t="shared" ref="G1488:G1489" si="915">G1489</f>
        <v>0.61504030570008339</v>
      </c>
      <c r="H1488" s="3">
        <f t="shared" ref="H1488:H1489" si="916">H1489</f>
        <v>0.65830556959273911</v>
      </c>
      <c r="I1488" s="3">
        <f t="shared" ref="I1488:I1489" si="917">I1489</f>
        <v>0.7379148962536346</v>
      </c>
      <c r="J1488" s="3">
        <f t="shared" ref="J1488:J1489" si="918">J1489</f>
        <v>0.77325934733858914</v>
      </c>
      <c r="K1488" s="3">
        <f t="shared" ref="K1488:K1489" si="919">K1489</f>
        <v>0.79899112903654423</v>
      </c>
    </row>
    <row r="1489" spans="2:11" x14ac:dyDescent="0.35">
      <c r="B1489" s="5" t="str">
        <f t="shared" si="887"/>
        <v>SPS3</v>
      </c>
      <c r="C1489" s="5" t="str">
        <f>C1488</f>
        <v>CH</v>
      </c>
      <c r="D1489" t="s">
        <v>1477</v>
      </c>
      <c r="E1489" t="s">
        <v>8</v>
      </c>
      <c r="F1489" s="1">
        <f>F1490</f>
        <v>0.58772895164057959</v>
      </c>
      <c r="G1489" s="1">
        <f t="shared" si="915"/>
        <v>0.61504030570008339</v>
      </c>
      <c r="H1489" s="1">
        <f t="shared" si="916"/>
        <v>0.65830556959273911</v>
      </c>
      <c r="I1489" s="1">
        <f t="shared" si="917"/>
        <v>0.7379148962536346</v>
      </c>
      <c r="J1489" s="1">
        <f t="shared" si="918"/>
        <v>0.77325934733858914</v>
      </c>
      <c r="K1489" s="1">
        <f t="shared" si="919"/>
        <v>0.79899112903654423</v>
      </c>
    </row>
    <row r="1490" spans="2:11" x14ac:dyDescent="0.35">
      <c r="B1490" s="5" t="str">
        <f t="shared" si="887"/>
        <v>SPS3</v>
      </c>
      <c r="C1490" s="5" t="str">
        <f t="shared" ref="C1490" si="920">C1489</f>
        <v>CH</v>
      </c>
      <c r="D1490" t="s">
        <v>1478</v>
      </c>
      <c r="E1490" t="s">
        <v>8</v>
      </c>
      <c r="F1490" s="1" cm="1">
        <f t="array" ref="F1490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0" s="1" cm="1">
        <f t="array" ref="G1490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0" s="1" cm="1">
        <f t="array" ref="H1490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0" s="1" cm="1">
        <f t="array" ref="I1490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0" s="1" cm="1">
        <f t="array" ref="J1490">SUMPRODUCT(("T_TRM_ELC"=[1]OUT_TransportEnergyCons!$A$3:$A$1000)*1,("Var_Fin"=[1]OUT_TransportEnergyCons!$B$3:$B$1000)*1,ISNUMBER(SEARCH("ELC",[1]OUT_TransportEnergyCons!$C$3:$C$1000))*1,[1]OUT_TransportEnergyCons!H$3:H$1000)</f>
        <v>0.77325934733858914</v>
      </c>
      <c r="K1490" s="1" cm="1">
        <f t="array" ref="K1490">SUMPRODUCT(("T_TRM_ELC"=[1]OUT_TransportEnergyCons!$A$3:$A$1000)*1,("Var_Fin"=[1]OUT_TransportEnergyCons!$B$3:$B$1000)*1,ISNUMBER(SEARCH("ELC",[1]OUT_TransportEnergyCons!$C$3:$C$1000))*1,[1]OUT_TransportEnergyCons!I$3:I$1000)</f>
        <v>0.79899112903654423</v>
      </c>
    </row>
    <row r="1491" spans="2:11" x14ac:dyDescent="0.35">
      <c r="B1491" s="9" t="str">
        <f t="shared" si="887"/>
        <v>SPS3</v>
      </c>
      <c r="C1491" s="9" t="str">
        <f t="shared" ref="C1491:C1495" si="921">C1490</f>
        <v>CH</v>
      </c>
      <c r="D1491" s="2" t="s">
        <v>1483</v>
      </c>
      <c r="E1491" s="2" t="s">
        <v>1132</v>
      </c>
      <c r="F1491" s="3">
        <f>F1492</f>
        <v>3.3477999999999994E-2</v>
      </c>
      <c r="G1491" s="3">
        <f t="shared" ref="G1491" si="922">G1492</f>
        <v>3.4238693943285006E-2</v>
      </c>
      <c r="H1491" s="3">
        <f t="shared" ref="H1491" si="923">H1492</f>
        <v>3.5370833501607003E-2</v>
      </c>
      <c r="I1491" s="3">
        <f t="shared" ref="I1491" si="924">I1492</f>
        <v>3.726366700321395E-2</v>
      </c>
      <c r="J1491" s="3">
        <f t="shared" ref="J1491" si="925">J1492</f>
        <v>3.9048512196511807E-2</v>
      </c>
      <c r="K1491" s="3">
        <f t="shared" ref="K1491" si="926">K1492</f>
        <v>4.0347931071859175E-2</v>
      </c>
    </row>
    <row r="1492" spans="2:11" x14ac:dyDescent="0.35">
      <c r="B1492" s="5" t="str">
        <f t="shared" si="887"/>
        <v>SPS3</v>
      </c>
      <c r="C1492" s="5" t="str">
        <f t="shared" si="921"/>
        <v>CH</v>
      </c>
      <c r="D1492" t="s">
        <v>1484</v>
      </c>
      <c r="E1492" t="s">
        <v>1132</v>
      </c>
      <c r="F1492" s="1" cm="1">
        <f t="array" ref="F1492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2" s="1" cm="1">
        <f t="array" ref="G1492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2" s="1" cm="1">
        <f t="array" ref="H1492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2" s="1" cm="1">
        <f t="array" ref="I1492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2" s="1" cm="1">
        <f t="array" ref="J1492">SUMPRODUCT(("T_TRM_ELC"=[1]OUT_TransportEnergyCons!$A$3:$A$1000)*1,("Var_Fout"=[1]OUT_TransportEnergyCons!$B$3:$B$1000)*1,ISNUMBER(SEARCH("tptrm",[1]OUT_TransportEnergyCons!$C$3:$C$1000))*1,[1]OUT_TransportEnergyCons!H$3:H$1000)</f>
        <v>3.9048512196511807E-2</v>
      </c>
      <c r="K1492" s="1" cm="1">
        <f t="array" ref="K1492">SUMPRODUCT(("T_TRM_ELC"=[1]OUT_TransportEnergyCons!$A$3:$A$1000)*1,("Var_Fout"=[1]OUT_TransportEnergyCons!$B$3:$B$1000)*1,ISNUMBER(SEARCH("tptrm",[1]OUT_TransportEnergyCons!$C$3:$C$1000))*1,[1]OUT_TransportEnergyCons!I$3:I$1000)</f>
        <v>4.0347931071859175E-2</v>
      </c>
    </row>
    <row r="1493" spans="2:11" x14ac:dyDescent="0.35">
      <c r="B1493" s="9" t="str">
        <f t="shared" si="887"/>
        <v>SPS3</v>
      </c>
      <c r="C1493" s="9" t="str">
        <f t="shared" si="921"/>
        <v>CH</v>
      </c>
      <c r="D1493" s="2" t="s">
        <v>1485</v>
      </c>
      <c r="E1493" s="2" t="s">
        <v>1230</v>
      </c>
      <c r="F1493" s="1" t="s">
        <v>292</v>
      </c>
      <c r="G1493" s="1" t="s">
        <v>292</v>
      </c>
      <c r="H1493" s="1" t="s">
        <v>292</v>
      </c>
      <c r="I1493" s="1" t="s">
        <v>292</v>
      </c>
      <c r="J1493" s="1" t="s">
        <v>292</v>
      </c>
      <c r="K1493" s="1" t="s">
        <v>292</v>
      </c>
    </row>
    <row r="1494" spans="2:11" x14ac:dyDescent="0.35">
      <c r="B1494" s="5" t="str">
        <f t="shared" si="887"/>
        <v>SPS3</v>
      </c>
      <c r="C1494" s="5" t="str">
        <f t="shared" si="921"/>
        <v>CH</v>
      </c>
      <c r="D1494" t="s">
        <v>1486</v>
      </c>
      <c r="E1494" t="str">
        <f>E1493</f>
        <v>km/MJ</v>
      </c>
      <c r="F1494" s="1">
        <f>F1492/F1490</f>
        <v>5.6961631559156484E-2</v>
      </c>
      <c r="G1494" s="1">
        <f t="shared" ref="G1494:K1494" si="927">G1492/G1490</f>
        <v>5.5669024657354849E-2</v>
      </c>
      <c r="H1494" s="1">
        <f t="shared" si="927"/>
        <v>5.3730114304652132E-2</v>
      </c>
      <c r="I1494" s="1">
        <f t="shared" si="927"/>
        <v>5.049859705014785E-2</v>
      </c>
      <c r="J1494" s="1">
        <f t="shared" si="927"/>
        <v>5.0498597050147948E-2</v>
      </c>
      <c r="K1494" s="1">
        <f t="shared" si="927"/>
        <v>5.0498597050147906E-2</v>
      </c>
    </row>
    <row r="1495" spans="2:11" x14ac:dyDescent="0.35">
      <c r="B1495" s="9" t="str">
        <f t="shared" si="887"/>
        <v>SPS3</v>
      </c>
      <c r="C1495" s="9" t="str">
        <f t="shared" si="921"/>
        <v>CH</v>
      </c>
      <c r="D1495" s="2" t="s">
        <v>1488</v>
      </c>
      <c r="E1495" s="2" t="s">
        <v>8</v>
      </c>
      <c r="F1495" s="3">
        <f>SUM(F1496,F1501,F1506)</f>
        <v>2.4116608879245414</v>
      </c>
      <c r="G1495" s="3">
        <f t="shared" ref="G1495:K1495" si="928">SUM(G1496,G1501,G1506)</f>
        <v>2.1616651599371397</v>
      </c>
      <c r="H1495" s="3">
        <f t="shared" si="928"/>
        <v>1.8806286093379074</v>
      </c>
      <c r="I1495" s="3">
        <f t="shared" si="928"/>
        <v>1.4946725641445471</v>
      </c>
      <c r="J1495" s="3">
        <f t="shared" si="928"/>
        <v>0.17834651098663729</v>
      </c>
      <c r="K1495" s="3">
        <f t="shared" si="928"/>
        <v>0.16223855461315928</v>
      </c>
    </row>
    <row r="1496" spans="2:11" x14ac:dyDescent="0.35">
      <c r="B1496" s="5" t="str">
        <f t="shared" si="887"/>
        <v>SPS3</v>
      </c>
      <c r="C1496" t="str">
        <f t="shared" ref="C1496:C1500" si="929">C1495</f>
        <v>CH</v>
      </c>
      <c r="D1496" t="s">
        <v>1489</v>
      </c>
      <c r="E1496" t="str">
        <f>E1495</f>
        <v>PJ/yr.</v>
      </c>
      <c r="F1496" s="1">
        <f>SUM(F1497:F1500)</f>
        <v>2.2254877172992672E-3</v>
      </c>
      <c r="G1496" s="1">
        <f t="shared" ref="G1496:K1496" si="930">SUM(G1497:G1500)</f>
        <v>3.2552154805983321E-3</v>
      </c>
      <c r="H1496" s="1">
        <f t="shared" si="930"/>
        <v>3.6583720019745967E-3</v>
      </c>
      <c r="I1496" s="1">
        <f t="shared" si="930"/>
        <v>3.2528744102281308E-3</v>
      </c>
      <c r="J1496" s="1">
        <f t="shared" si="930"/>
        <v>0.16864283415945461</v>
      </c>
      <c r="K1496" s="1">
        <f t="shared" si="930"/>
        <v>0.16167196981313531</v>
      </c>
    </row>
    <row r="1497" spans="2:11" x14ac:dyDescent="0.35">
      <c r="B1497" t="str">
        <f t="shared" si="887"/>
        <v>SPS3</v>
      </c>
      <c r="C1497" t="str">
        <f t="shared" si="929"/>
        <v>CH</v>
      </c>
      <c r="D1497" t="s">
        <v>1490</v>
      </c>
      <c r="E1497" t="str">
        <f t="shared" ref="E1497:E1500" si="931">E1496</f>
        <v>PJ/yr.</v>
      </c>
      <c r="F1497" s="1" cm="1">
        <f t="array" ref="F1497">SUMPRODUCT(("T_TW-BEVELC-S1"=[1]OUT_TransportEnergyCons!$A$3:$A$1000)*1,("Var_Fin"=[1]OUT_TransportEnergyCons!$B$3:$B$1000)*1,ISNUMBER(SEARCH("ELC",[1]OUT_TransportEnergyCons!$C$3:$C$1000))*1,[1]OUT_TransportEnergyCons!D$3:D$1000)</f>
        <v>1.5897482109625228E-3</v>
      </c>
      <c r="G1497" s="1" cm="1">
        <f t="array" ref="G1497">SUMPRODUCT(("T_TW-BEVELC-S1"=[1]OUT_TransportEnergyCons!$A$3:$A$1000)*1,("Var_Fin"=[1]OUT_TransportEnergyCons!$B$3:$B$1000)*1,ISNUMBER(SEARCH("ELC",[1]OUT_TransportEnergyCons!$C$3:$C$1000))*1,[1]OUT_TransportEnergyCons!E$3:E$1000)</f>
        <v>2.2315086720625238E-3</v>
      </c>
      <c r="H1497" s="1" cm="1">
        <f t="array" ref="H1497">SUMPRODUCT(("T_TW-BEVELC-S1"=[1]OUT_TransportEnergyCons!$A$3:$A$1000)*1,("Var_Fin"=[1]OUT_TransportEnergyCons!$B$3:$B$1000)*1,ISNUMBER(SEARCH("ELC",[1]OUT_TransportEnergyCons!$C$3:$C$1000))*1,[1]OUT_TransportEnergyCons!F$3:F$1000)</f>
        <v>2.3584899123461969E-3</v>
      </c>
      <c r="I1497" s="1" cm="1">
        <f t="array" ref="I1497">SUMPRODUCT(("T_TW-BEVELC-S1"=[1]OUT_TransportEnergyCons!$A$3:$A$1000)*1,("Var_Fin"=[1]OUT_TransportEnergyCons!$B$3:$B$1000)*1,ISNUMBER(SEARCH("ELC",[1]OUT_TransportEnergyCons!$C$3:$C$1000))*1,[1]OUT_TransportEnergyCons!G$3:G$1000)</f>
        <v>1.8107677804735183E-3</v>
      </c>
      <c r="J1497" s="1" cm="1">
        <f t="array" ref="J1497">SUMPRODUCT(("T_TW-BEVELC-S1"=[1]OUT_TransportEnergyCons!$A$3:$A$1000)*1,("Var_Fin"=[1]OUT_TransportEnergyCons!$B$3:$B$1000)*1,ISNUMBER(SEARCH("ELC",[1]OUT_TransportEnergyCons!$C$3:$C$1000))*1,[1]OUT_TransportEnergyCons!H$3:H$1000)</f>
        <v>0.16747096642817441</v>
      </c>
      <c r="K1497" s="1" cm="1">
        <f t="array" ref="K1497">SUMPRODUCT(("T_TW-BEVELC-S1"=[1]OUT_TransportEnergyCons!$A$3:$A$1000)*1,("Var_Fin"=[1]OUT_TransportEnergyCons!$B$3:$B$1000)*1,ISNUMBER(SEARCH("ELC",[1]OUT_TransportEnergyCons!$C$3:$C$1000))*1,[1]OUT_TransportEnergyCons!I$3:I$1000)</f>
        <v>0.16109132844865467</v>
      </c>
    </row>
    <row r="1498" spans="2:11" x14ac:dyDescent="0.35">
      <c r="B1498" t="str">
        <f t="shared" si="887"/>
        <v>SPS3</v>
      </c>
      <c r="C1498" t="str">
        <f t="shared" si="929"/>
        <v>CH</v>
      </c>
      <c r="D1498" t="s">
        <v>1491</v>
      </c>
      <c r="E1498" t="str">
        <f t="shared" si="931"/>
        <v>PJ/yr.</v>
      </c>
      <c r="F1498" s="1" cm="1">
        <f t="array" ref="F1498">SUMPRODUCT(("T_TW-BEVELC-S2"=[1]OUT_TransportEnergyCons!$A$3:$A$1000)*1,("Var_Fin"=[1]OUT_TransportEnergyCons!$B$3:$B$1000)*1,ISNUMBER(SEARCH("ELC",[1]OUT_TransportEnergyCons!$C$3:$C$1000))*1,[1]OUT_TransportEnergyCons!D$3:D$1000)</f>
        <v>3.7070527632899737E-4</v>
      </c>
      <c r="G1498" s="1" cm="1">
        <f t="array" ref="G1498">SUMPRODUCT(("T_TW-BEVELC-S2"=[1]OUT_TransportEnergyCons!$A$3:$A$1000)*1,("Var_Fin"=[1]OUT_TransportEnergyCons!$B$3:$B$1000)*1,ISNUMBER(SEARCH("ELC",[1]OUT_TransportEnergyCons!$C$3:$C$1000))*1,[1]OUT_TransportEnergyCons!E$3:E$1000)</f>
        <v>5.2914492922224966E-4</v>
      </c>
      <c r="H1498" s="1" cm="1">
        <f t="array" ref="H1498">SUMPRODUCT(("T_TW-BEVELC-S2"=[1]OUT_TransportEnergyCons!$A$3:$A$1000)*1,("Var_Fin"=[1]OUT_TransportEnergyCons!$B$3:$B$1000)*1,ISNUMBER(SEARCH("ELC",[1]OUT_TransportEnergyCons!$C$3:$C$1000))*1,[1]OUT_TransportEnergyCons!F$3:F$1000)</f>
        <v>6.2239991467395782E-4</v>
      </c>
      <c r="I1498" s="1" cm="1">
        <f t="array" ref="I1498">SUMPRODUCT(("T_TW-BEVELC-S2"=[1]OUT_TransportEnergyCons!$A$3:$A$1000)*1,("Var_Fin"=[1]OUT_TransportEnergyCons!$B$3:$B$1000)*1,ISNUMBER(SEARCH("ELC",[1]OUT_TransportEnergyCons!$C$3:$C$1000))*1,[1]OUT_TransportEnergyCons!G$3:G$1000)</f>
        <v>6.4375770455045043E-4</v>
      </c>
      <c r="J1498" s="1" cm="1">
        <f t="array" ref="J1498">SUMPRODUCT(("T_TW-BEVELC-S2"=[1]OUT_TransportEnergyCons!$A$3:$A$1000)*1,("Var_Fin"=[1]OUT_TransportEnergyCons!$B$3:$B$1000)*1,ISNUMBER(SEARCH("ELC",[1]OUT_TransportEnergyCons!$C$3:$C$1000))*1,[1]OUT_TransportEnergyCons!H$3:H$1000)</f>
        <v>3.3770005330749998E-4</v>
      </c>
      <c r="K1498" s="1" cm="1">
        <f t="array" ref="K1498">SUMPRODUCT(("T_TW-BEVELC-S2"=[1]OUT_TransportEnergyCons!$A$3:$A$1000)*1,("Var_Fin"=[1]OUT_TransportEnergyCons!$B$3:$B$1000)*1,ISNUMBER(SEARCH("ELC",[1]OUT_TransportEnergyCons!$C$3:$C$1000))*1,[1]OUT_TransportEnergyCons!I$3:I$1000)</f>
        <v>1.8378965479079625E-4</v>
      </c>
    </row>
    <row r="1499" spans="2:11" x14ac:dyDescent="0.35">
      <c r="B1499" t="str">
        <f t="shared" si="887"/>
        <v>SPS3</v>
      </c>
      <c r="C1499" t="str">
        <f t="shared" si="929"/>
        <v>CH</v>
      </c>
      <c r="D1499" t="s">
        <v>1493</v>
      </c>
      <c r="E1499" t="str">
        <f t="shared" si="931"/>
        <v>PJ/yr.</v>
      </c>
      <c r="F1499" s="1" cm="1">
        <f t="array" ref="F1499">SUMPRODUCT(("T_TW-BEVELC-S3"=[1]OUT_TransportEnergyCons!$A$3:$A$1000)*1,("Var_Fin"=[1]OUT_TransportEnergyCons!$B$3:$B$1000)*1,ISNUMBER(SEARCH("ELC",[1]OUT_TransportEnergyCons!$C$3:$C$1000))*1,[1]OUT_TransportEnergyCons!D$3:D$1000)</f>
        <v>1.2194260849612276E-4</v>
      </c>
      <c r="G1499" s="1" cm="1">
        <f t="array" ref="G1499">SUMPRODUCT(("T_TW-BEVELC-S3"=[1]OUT_TransportEnergyCons!$A$3:$A$1000)*1,("Var_Fin"=[1]OUT_TransportEnergyCons!$B$3:$B$1000)*1,ISNUMBER(SEARCH("ELC",[1]OUT_TransportEnergyCons!$C$3:$C$1000))*1,[1]OUT_TransportEnergyCons!E$3:E$1000)</f>
        <v>2.4014645190956611E-4</v>
      </c>
      <c r="H1499" s="1" cm="1">
        <f t="array" ref="H1499">SUMPRODUCT(("T_TW-BEVELC-S3"=[1]OUT_TransportEnergyCons!$A$3:$A$1000)*1,("Var_Fin"=[1]OUT_TransportEnergyCons!$B$3:$B$1000)*1,ISNUMBER(SEARCH("ELC",[1]OUT_TransportEnergyCons!$C$3:$C$1000))*1,[1]OUT_TransportEnergyCons!F$3:F$1000)</f>
        <v>3.2260067076333684E-4</v>
      </c>
      <c r="I1499" s="1" cm="1">
        <f t="array" ref="I1499">SUMPRODUCT(("T_TW-BEVELC-S3"=[1]OUT_TransportEnergyCons!$A$3:$A$1000)*1,("Var_Fin"=[1]OUT_TransportEnergyCons!$B$3:$B$1000)*1,ISNUMBER(SEARCH("ELC",[1]OUT_TransportEnergyCons!$C$3:$C$1000))*1,[1]OUT_TransportEnergyCons!G$3:G$1000)</f>
        <v>3.8413404986182436E-4</v>
      </c>
      <c r="J1499" s="1" cm="1">
        <f t="array" ref="J1499">SUMPRODUCT(("T_TW-BEVELC-S3"=[1]OUT_TransportEnergyCons!$A$3:$A$1000)*1,("Var_Fin"=[1]OUT_TransportEnergyCons!$B$3:$B$1000)*1,ISNUMBER(SEARCH("ELC",[1]OUT_TransportEnergyCons!$C$3:$C$1000))*1,[1]OUT_TransportEnergyCons!H$3:H$1000)</f>
        <v>3.3195876563739423E-4</v>
      </c>
      <c r="K1499" s="1" cm="1">
        <f t="array" ref="K1499">SUMPRODUCT(("T_TW-BEVELC-S3"=[1]OUT_TransportEnergyCons!$A$3:$A$1000)*1,("Var_Fin"=[1]OUT_TransportEnergyCons!$B$3:$B$1000)*1,ISNUMBER(SEARCH("ELC",[1]OUT_TransportEnergyCons!$C$3:$C$1000))*1,[1]OUT_TransportEnergyCons!I$3:I$1000)</f>
        <v>1.3148565864110387E-4</v>
      </c>
    </row>
    <row r="1500" spans="2:11" x14ac:dyDescent="0.35">
      <c r="B1500" t="str">
        <f t="shared" si="887"/>
        <v>SPS3</v>
      </c>
      <c r="C1500" t="str">
        <f t="shared" si="929"/>
        <v>CH</v>
      </c>
      <c r="D1500" t="s">
        <v>1492</v>
      </c>
      <c r="E1500" t="str">
        <f t="shared" si="931"/>
        <v>PJ/yr.</v>
      </c>
      <c r="F1500" s="1" cm="1">
        <f t="array" ref="F1500">SUMPRODUCT(("T_TW-BEVELC-S4"=[1]OUT_TransportEnergyCons!$A$3:$A$1000)*1,("Var_Fin"=[1]OUT_TransportEnergyCons!$B$3:$B$1000)*1,ISNUMBER(SEARCH("ELC",[1]OUT_TransportEnergyCons!$C$3:$C$1000))*1,[1]OUT_TransportEnergyCons!D$3:D$1000)</f>
        <v>1.4309162151162437E-4</v>
      </c>
      <c r="G1500" s="1" cm="1">
        <f t="array" ref="G1500">SUMPRODUCT(("T_TW-BEVELC-S4"=[1]OUT_TransportEnergyCons!$A$3:$A$1000)*1,("Var_Fin"=[1]OUT_TransportEnergyCons!$B$3:$B$1000)*1,ISNUMBER(SEARCH("ELC",[1]OUT_TransportEnergyCons!$C$3:$C$1000))*1,[1]OUT_TransportEnergyCons!E$3:E$1000)</f>
        <v>2.5441542740399232E-4</v>
      </c>
      <c r="H1500" s="1" cm="1">
        <f t="array" ref="H1500">SUMPRODUCT(("T_TW-BEVELC-S4"=[1]OUT_TransportEnergyCons!$A$3:$A$1000)*1,("Var_Fin"=[1]OUT_TransportEnergyCons!$B$3:$B$1000)*1,ISNUMBER(SEARCH("ELC",[1]OUT_TransportEnergyCons!$C$3:$C$1000))*1,[1]OUT_TransportEnergyCons!F$3:F$1000)</f>
        <v>3.5488150419110492E-4</v>
      </c>
      <c r="I1500" s="1" cm="1">
        <f t="array" ref="I1500">SUMPRODUCT(("T_TW-BEVELC-S4"=[1]OUT_TransportEnergyCons!$A$3:$A$1000)*1,("Var_Fin"=[1]OUT_TransportEnergyCons!$B$3:$B$1000)*1,ISNUMBER(SEARCH("ELC",[1]OUT_TransportEnergyCons!$C$3:$C$1000))*1,[1]OUT_TransportEnergyCons!G$3:G$1000)</f>
        <v>4.1421487534233783E-4</v>
      </c>
      <c r="J1500" s="1" cm="1">
        <f t="array" ref="J1500">SUMPRODUCT(("T_TW-BEVELC-S4"=[1]OUT_TransportEnergyCons!$A$3:$A$1000)*1,("Var_Fin"=[1]OUT_TransportEnergyCons!$B$3:$B$1000)*1,ISNUMBER(SEARCH("ELC",[1]OUT_TransportEnergyCons!$C$3:$C$1000))*1,[1]OUT_TransportEnergyCons!H$3:H$1000)</f>
        <v>5.0220891233528477E-4</v>
      </c>
      <c r="K1500" s="1" cm="1">
        <f t="array" ref="K1500">SUMPRODUCT(("T_TW-BEVELC-S4"=[1]OUT_TransportEnergyCons!$A$3:$A$1000)*1,("Var_Fin"=[1]OUT_TransportEnergyCons!$B$3:$B$1000)*1,ISNUMBER(SEARCH("ELC",[1]OUT_TransportEnergyCons!$C$3:$C$1000))*1,[1]OUT_TransportEnergyCons!I$3:I$1000)</f>
        <v>2.6536605104872607E-4</v>
      </c>
    </row>
    <row r="1501" spans="2:11" x14ac:dyDescent="0.35">
      <c r="B1501" s="5" t="str">
        <f t="shared" si="887"/>
        <v>SPS3</v>
      </c>
      <c r="C1501" t="str">
        <f t="shared" ref="C1501:C1505" si="932">C1500</f>
        <v>CH</v>
      </c>
      <c r="D1501" t="s">
        <v>1494</v>
      </c>
      <c r="E1501" t="str">
        <f>E1500</f>
        <v>PJ/yr.</v>
      </c>
      <c r="F1501" s="1">
        <f>SUM(F1502:F1505)</f>
        <v>0</v>
      </c>
      <c r="G1501" s="1">
        <f t="shared" ref="G1501:K1501" si="933">SUM(G1502:G1505)</f>
        <v>0</v>
      </c>
      <c r="H1501" s="1">
        <f t="shared" si="933"/>
        <v>0</v>
      </c>
      <c r="I1501" s="1">
        <f t="shared" si="933"/>
        <v>0</v>
      </c>
      <c r="J1501" s="1">
        <f t="shared" si="933"/>
        <v>3.7833717527992894E-4</v>
      </c>
      <c r="K1501" s="1">
        <f t="shared" si="933"/>
        <v>3.1065933257325585E-4</v>
      </c>
    </row>
    <row r="1502" spans="2:11" x14ac:dyDescent="0.35">
      <c r="B1502" t="str">
        <f t="shared" si="887"/>
        <v>SPS3</v>
      </c>
      <c r="C1502" t="str">
        <f t="shared" si="932"/>
        <v>CH</v>
      </c>
      <c r="D1502" t="s">
        <v>1495</v>
      </c>
      <c r="E1502" t="str">
        <f t="shared" ref="E1502:E1505" si="934">E1501</f>
        <v>PJ/yr.</v>
      </c>
      <c r="F1502" s="1" cm="1">
        <f t="array" ref="F1502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2" s="1" cm="1">
        <f t="array" ref="G1502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2" s="1" cm="1">
        <f t="array" ref="H1502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2" s="1" cm="1">
        <f t="array" ref="I1502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2" s="1" cm="1">
        <f t="array" ref="J1502">SUMPRODUCT(("T_TW-fclh2o-S1"=[1]OUT_TransportEnergyCons!$A$3:$A$1000)*1,("Var_Fin"=[1]OUT_TransportEnergyCons!$B$3:$B$1000)*1,ISNUMBER(SEARCH("h2",[1]OUT_TransportEnergyCons!$C$3:$C$1000))*1,[1]OUT_TransportEnergyCons!H$3:H$1000)</f>
        <v>1.5734645497029372E-4</v>
      </c>
      <c r="K1502" s="1" cm="1">
        <f t="array" ref="K1502">SUMPRODUCT(("T_TW-fclh2o-S1"=[1]OUT_TransportEnergyCons!$A$3:$A$1000)*1,("Var_Fin"=[1]OUT_TransportEnergyCons!$B$3:$B$1000)*1,ISNUMBER(SEARCH("h2",[1]OUT_TransportEnergyCons!$C$3:$C$1000))*1,[1]OUT_TransportEnergyCons!I$3:I$1000)</f>
        <v>1.0867576271341932E-4</v>
      </c>
    </row>
    <row r="1503" spans="2:11" x14ac:dyDescent="0.35">
      <c r="B1503" t="str">
        <f t="shared" si="887"/>
        <v>SPS3</v>
      </c>
      <c r="C1503" t="str">
        <f t="shared" si="932"/>
        <v>CH</v>
      </c>
      <c r="D1503" t="s">
        <v>1496</v>
      </c>
      <c r="E1503" t="str">
        <f t="shared" si="934"/>
        <v>PJ/yr.</v>
      </c>
      <c r="F1503" s="1" cm="1">
        <f t="array" ref="F1503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3" s="1" cm="1">
        <f t="array" ref="G1503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3" s="1" cm="1">
        <f t="array" ref="H1503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3" s="1" cm="1">
        <f t="array" ref="I1503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3" s="1" cm="1">
        <f t="array" ref="J1503">SUMPRODUCT(("T_TW-fclh2o-S2"=[1]OUT_TransportEnergyCons!$A$3:$A$1000)*1,("Var_Fin"=[1]OUT_TransportEnergyCons!$B$3:$B$1000)*1,ISNUMBER(SEARCH("h2",[1]OUT_TransportEnergyCons!$C$3:$C$1000))*1,[1]OUT_TransportEnergyCons!H$3:H$1000)</f>
        <v>9.7694193544158975E-5</v>
      </c>
      <c r="K1503" s="1" cm="1">
        <f t="array" ref="K1503">SUMPRODUCT(("T_TW-fclh2o-S2"=[1]OUT_TransportEnergyCons!$A$3:$A$1000)*1,("Var_Fin"=[1]OUT_TransportEnergyCons!$B$3:$B$1000)*1,ISNUMBER(SEARCH("h2",[1]OUT_TransportEnergyCons!$C$3:$C$1000))*1,[1]OUT_TransportEnergyCons!I$3:I$1000)</f>
        <v>7.3179200265901273E-5</v>
      </c>
    </row>
    <row r="1504" spans="2:11" x14ac:dyDescent="0.35">
      <c r="B1504" t="str">
        <f t="shared" si="887"/>
        <v>SPS3</v>
      </c>
      <c r="C1504" t="str">
        <f t="shared" si="932"/>
        <v>CH</v>
      </c>
      <c r="D1504" t="s">
        <v>1497</v>
      </c>
      <c r="E1504" t="str">
        <f t="shared" si="934"/>
        <v>PJ/yr.</v>
      </c>
      <c r="F1504" s="1" cm="1">
        <f t="array" ref="F1504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SUMPRODUCT(("T_TW-fclh2o-S3"=[1]OUT_TransportEnergyCons!$A$3:$A$1000)*1,("Var_Fin"=[1]OUT_TransportEnergyCons!$B$3:$B$1000)*1,ISNUMBER(SEARCH("h2",[1]OUT_TransportEnergyCons!$C$3:$C$1000))*1,[1]OUT_TransportEnergyCons!H$3:H$1000)</f>
        <v>7.3906544883911476E-5</v>
      </c>
      <c r="K1504" s="1" cm="1">
        <f t="array" ref="K1504">SUMPRODUCT(("T_TW-fclh2o-S3"=[1]OUT_TransportEnergyCons!$A$3:$A$1000)*1,("Var_Fin"=[1]OUT_TransportEnergyCons!$B$3:$B$1000)*1,ISNUMBER(SEARCH("h2",[1]OUT_TransportEnergyCons!$C$3:$C$1000))*1,[1]OUT_TransportEnergyCons!I$3:I$1000)</f>
        <v>7.1677235073952855E-5</v>
      </c>
    </row>
    <row r="1505" spans="2:11" x14ac:dyDescent="0.35">
      <c r="B1505" t="str">
        <f t="shared" si="887"/>
        <v>SPS3</v>
      </c>
      <c r="C1505" t="str">
        <f t="shared" si="932"/>
        <v>CH</v>
      </c>
      <c r="D1505" t="s">
        <v>1498</v>
      </c>
      <c r="E1505" t="str">
        <f t="shared" si="934"/>
        <v>PJ/yr.</v>
      </c>
      <c r="F1505" s="1" cm="1">
        <f t="array" ref="F1505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SUMPRODUCT(("T_TW-fclh2o-S4"=[1]OUT_TransportEnergyCons!$A$3:$A$1000)*1,("Var_Fin"=[1]OUT_TransportEnergyCons!$B$3:$B$1000)*1,ISNUMBER(SEARCH("h2",[1]OUT_TransportEnergyCons!$C$3:$C$1000))*1,[1]OUT_TransportEnergyCons!H$3:H$1000)</f>
        <v>4.9389981881564747E-5</v>
      </c>
      <c r="K1505" s="1" cm="1">
        <f t="array" ref="K1505">SUMPRODUCT(("T_TW-fclh2o-S4"=[1]OUT_TransportEnergyCons!$A$3:$A$1000)*1,("Var_Fin"=[1]OUT_TransportEnergyCons!$B$3:$B$1000)*1,ISNUMBER(SEARCH("h2",[1]OUT_TransportEnergyCons!$C$3:$C$1000))*1,[1]OUT_TransportEnergyCons!I$3:I$1000)</f>
        <v>5.7127134519982417E-5</v>
      </c>
    </row>
    <row r="1506" spans="2:11" x14ac:dyDescent="0.35">
      <c r="B1506" s="5" t="str">
        <f t="shared" si="887"/>
        <v>SPS3</v>
      </c>
      <c r="C1506" t="str">
        <f t="shared" ref="C1506:C1516" si="935">C1505</f>
        <v>CH</v>
      </c>
      <c r="D1506" t="s">
        <v>1499</v>
      </c>
      <c r="E1506" t="str">
        <f>E1505</f>
        <v>PJ/yr.</v>
      </c>
      <c r="F1506" s="1">
        <f>SUM(F1511:F1515)</f>
        <v>2.4094354002072422</v>
      </c>
      <c r="G1506" s="1">
        <f t="shared" ref="G1506:K1506" si="936">SUM(G1511:G1515)</f>
        <v>2.1584099444565412</v>
      </c>
      <c r="H1506" s="1">
        <f t="shared" si="936"/>
        <v>1.8769702373359329</v>
      </c>
      <c r="I1506" s="1">
        <f t="shared" si="936"/>
        <v>1.491419689734319</v>
      </c>
      <c r="J1506" s="1">
        <f t="shared" si="936"/>
        <v>9.3253396519027559E-3</v>
      </c>
      <c r="K1506" s="1">
        <f t="shared" si="936"/>
        <v>2.5592546745070266E-4</v>
      </c>
    </row>
    <row r="1507" spans="2:11" x14ac:dyDescent="0.35">
      <c r="B1507" s="5" t="str">
        <f t="shared" si="887"/>
        <v>SPS3</v>
      </c>
      <c r="C1507" s="5" t="str">
        <f>C1506</f>
        <v>CH</v>
      </c>
      <c r="D1507" t="s">
        <v>1500</v>
      </c>
      <c r="E1507" t="str">
        <f>E1506</f>
        <v>PJ/yr.</v>
      </c>
      <c r="F1507" s="1">
        <f>F1506-F1508</f>
        <v>2.2775410498106807</v>
      </c>
      <c r="G1507" s="1">
        <f t="shared" ref="G1507:K1507" si="937">G1506-G1508</f>
        <v>2.0402582642779667</v>
      </c>
      <c r="H1507" s="1">
        <f t="shared" si="937"/>
        <v>1.7739115182442033</v>
      </c>
      <c r="I1507" s="1">
        <f t="shared" si="937"/>
        <v>1.3894665787415879</v>
      </c>
      <c r="J1507" s="1">
        <f t="shared" si="937"/>
        <v>3.8674368095074222E-3</v>
      </c>
      <c r="K1507" s="1">
        <f t="shared" si="937"/>
        <v>-3.6156608489093934E-6</v>
      </c>
    </row>
    <row r="1508" spans="2:11" x14ac:dyDescent="0.35">
      <c r="B1508" s="5" t="str">
        <f t="shared" si="887"/>
        <v>SPS3</v>
      </c>
      <c r="C1508" s="5" t="str">
        <f t="shared" ref="C1508:C1510" si="938">C1507</f>
        <v>CH</v>
      </c>
      <c r="D1508" t="s">
        <v>1501</v>
      </c>
      <c r="E1508" t="str">
        <f>E1507</f>
        <v>PJ/yr.</v>
      </c>
      <c r="F1508" s="1">
        <f>SUM(F1509:F1510)</f>
        <v>0.13189435039656155</v>
      </c>
      <c r="G1508" s="1">
        <f t="shared" ref="G1508" si="939">SUM(G1509:G1510)</f>
        <v>0.11815168017857429</v>
      </c>
      <c r="H1508" s="1">
        <f t="shared" ref="H1508" si="940">SUM(H1509:H1510)</f>
        <v>0.10305871909172962</v>
      </c>
      <c r="I1508" s="1">
        <f t="shared" ref="I1508" si="941">SUM(I1509:I1510)</f>
        <v>0.10195311099273111</v>
      </c>
      <c r="J1508" s="1">
        <f t="shared" ref="J1508" si="942">SUM(J1509:J1510)</f>
        <v>5.4579028423953338E-3</v>
      </c>
      <c r="K1508" s="1">
        <f t="shared" ref="K1508" si="943">SUM(K1509:K1510)</f>
        <v>2.5954112829961205E-4</v>
      </c>
    </row>
    <row r="1509" spans="2:11" x14ac:dyDescent="0.35">
      <c r="B1509" s="5" t="str">
        <f t="shared" si="887"/>
        <v>SPS3</v>
      </c>
      <c r="C1509" s="5" t="str">
        <f t="shared" si="938"/>
        <v>CH</v>
      </c>
      <c r="D1509" t="s">
        <v>1502</v>
      </c>
      <c r="E1509" t="str">
        <f>E1508</f>
        <v>PJ/yr.</v>
      </c>
      <c r="F1509" s="1">
        <f>[1]Transport!B$25/SUM([1]Transport!B$21,[1]Transport!B$25)*F1506*(F$34+F$598)/(F$34+F$598+F$37)</f>
        <v>0.13189435039656155</v>
      </c>
      <c r="G1509" s="1">
        <f>[1]Transport!C$25/SUM([1]Transport!C$21,[1]Transport!C$25)*G1506*(G$34+G$598)/(G$34+G$598+G$37)</f>
        <v>0.11815168017857429</v>
      </c>
      <c r="H1509" s="1">
        <f>[1]Transport!D$25/SUM([1]Transport!D$21,[1]Transport!D$25)*H1506*(H$34+H$598)/(H$34+H$598+H$37)</f>
        <v>0.10305871909172962</v>
      </c>
      <c r="I1509" s="1">
        <f>[1]Transport!E$25/SUM([1]Transport!E$21,[1]Transport!E$25)*I1506*(I$34+I$598)/(I$34+I$598+I$37)</f>
        <v>0.10195311099273111</v>
      </c>
      <c r="J1509" s="1">
        <f>[1]Transport!F$25/SUM([1]Transport!F$21,[1]Transport!F$25)*J1506*(J$34+J$598)/(J$34+J$598+J$37)</f>
        <v>3.0878191217985598E-3</v>
      </c>
      <c r="K1509" s="1">
        <f>[1]Transport!G$25/SUM([1]Transport!G$21,[1]Transport!G$25)*K1506*(K$34+K$598)/(K$34+K$598+K$37)</f>
        <v>1.4069252665488675E-5</v>
      </c>
    </row>
    <row r="1510" spans="2:11" x14ac:dyDescent="0.35">
      <c r="B1510" s="5" t="str">
        <f t="shared" si="887"/>
        <v>SPS3</v>
      </c>
      <c r="C1510" s="5" t="str">
        <f t="shared" si="938"/>
        <v>CH</v>
      </c>
      <c r="D1510" t="s">
        <v>1503</v>
      </c>
      <c r="E1510" t="str">
        <f>E1509</f>
        <v>PJ/yr.</v>
      </c>
      <c r="F1510" s="1">
        <f>(F$37+F$717)/([1]Transport!B$21+[1]Transport!B$25)*F1506</f>
        <v>0</v>
      </c>
      <c r="G1510" s="1">
        <f>(G$37+G$717)/([1]Transport!C$21+[1]Transport!C$25)*G1506</f>
        <v>0</v>
      </c>
      <c r="H1510" s="1">
        <f>(H$37+H$717)/([1]Transport!D$21+[1]Transport!D$25)*H1506</f>
        <v>0</v>
      </c>
      <c r="I1510" s="1">
        <f>(I$37+I$717)/([1]Transport!E$21+[1]Transport!E$25)*I1506</f>
        <v>0</v>
      </c>
      <c r="J1510" s="1">
        <f>(J$37+J$717)/([1]Transport!F$21+[1]Transport!F$25)*J1506</f>
        <v>2.3700837205967739E-3</v>
      </c>
      <c r="K1510" s="1">
        <f>(K$37+K$717)/([1]Transport!G$21+[1]Transport!G$25)*K1506</f>
        <v>2.4547187563412335E-4</v>
      </c>
    </row>
    <row r="1511" spans="2:11" x14ac:dyDescent="0.35">
      <c r="B1511" t="str">
        <f t="shared" si="887"/>
        <v>SPS3</v>
      </c>
      <c r="C1511" t="str">
        <f>C1505</f>
        <v>CH</v>
      </c>
      <c r="D1511" t="s">
        <v>1578</v>
      </c>
      <c r="E1511" t="str">
        <f>E1505</f>
        <v>PJ/yr.</v>
      </c>
      <c r="F1511" s="1" cm="1">
        <f t="array" ref="F1511">SUMPRODUCT(("T_TW-ICEGSLEXT"=[1]OUT_TransportEnergyCons!$A$3:$A$1000)*1,("Var_Fin"=[1]OUT_TransportEnergyCons!$B$3:$B$1000)*1,ISNUMBER(SEARCH("gsl",[1]OUT_TransportEnergyCons!$C$3:$C$1000))*1,[1]OUT_TransportEnergyCons!D$3:D$1000)</f>
        <v>1.979732689741426</v>
      </c>
      <c r="G1511" s="1" cm="1">
        <f t="array" ref="G1511">SUMPRODUCT(("T_TW-ICEGSLEXT"=[1]OUT_TransportEnergyCons!$A$3:$A$1000)*1,("Var_Fin"=[1]OUT_TransportEnergyCons!$B$3:$B$1000)*1,ISNUMBER(SEARCH("gsl",[1]OUT_TransportEnergyCons!$C$3:$C$1000))*1,[1]OUT_TransportEnergyCons!E$3:E$1000)</f>
        <v>1.4942472993291658</v>
      </c>
      <c r="H1511" s="1" cm="1">
        <f t="array" ref="H1511">SUMPRODUCT(("T_TW-ICEGSLEXT"=[1]OUT_TransportEnergyCons!$A$3:$A$1000)*1,("Var_Fin"=[1]OUT_TransportEnergyCons!$B$3:$B$1000)*1,ISNUMBER(SEARCH("gsl",[1]OUT_TransportEnergyCons!$C$3:$C$1000))*1,[1]OUT_TransportEnergyCons!F$3:F$1000)</f>
        <v>1.0338959023056919</v>
      </c>
      <c r="I1511" s="1" cm="1">
        <f t="array" ref="I1511">SUMPRODUCT(("T_TW-ICEGSLEXT"=[1]OUT_TransportEnergyCons!$A$3:$A$1000)*1,("Var_Fin"=[1]OUT_TransportEnergyCons!$B$3:$B$1000)*1,ISNUMBER(SEARCH("gsl",[1]OUT_TransportEnergyCons!$C$3:$C$1000))*1,[1]OUT_TransportEnergyCons!G$3:G$1000)</f>
        <v>0.45338352881296384</v>
      </c>
      <c r="J1511" s="1" cm="1">
        <f t="array" ref="J1511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1" s="1" cm="1">
        <f t="array" ref="K1511">SUMPRODUCT(("T_TW-ICEGSLEXT"=[1]OUT_TransportEnergyCons!$A$3:$A$1000)*1,("Var_Fin"=[1]OUT_TransportEnergyCons!$B$3:$B$1000)*1,ISNUMBER(SEARCH("gsl",[1]OUT_TransportEnergyCons!$C$3:$C$1000))*1,[1]OUT_TransportEnergyCons!I$3:I$1000)</f>
        <v>0</v>
      </c>
    </row>
    <row r="1512" spans="2:11" x14ac:dyDescent="0.35">
      <c r="B1512" t="str">
        <f t="shared" si="887"/>
        <v>SPS3</v>
      </c>
      <c r="C1512" t="str">
        <f>C1506</f>
        <v>CH</v>
      </c>
      <c r="D1512" t="s">
        <v>1579</v>
      </c>
      <c r="E1512" t="str">
        <f>E1506</f>
        <v>PJ/yr.</v>
      </c>
      <c r="F1512" s="1" cm="1">
        <f t="array" ref="F1512">SUMPRODUCT(("T_TW-icegsl-S1"=[1]OUT_TransportEnergyCons!$A$3:$A$1000)*1,("Var_Fin"=[1]OUT_TransportEnergyCons!$B$3:$B$1000)*1,ISNUMBER(SEARCH("gsl",[1]OUT_TransportEnergyCons!$C$3:$C$1000))*1,[1]OUT_TransportEnergyCons!D$3:D$1000)</f>
        <v>4.4175648792090259E-2</v>
      </c>
      <c r="G1512" s="1" cm="1">
        <f t="array" ref="G1512">SUMPRODUCT(("T_TW-icegsl-S1"=[1]OUT_TransportEnergyCons!$A$3:$A$1000)*1,("Var_Fin"=[1]OUT_TransportEnergyCons!$B$3:$B$1000)*1,ISNUMBER(SEARCH("gsl",[1]OUT_TransportEnergyCons!$C$3:$C$1000))*1,[1]OUT_TransportEnergyCons!E$3:E$1000)</f>
        <v>0.17294942090603352</v>
      </c>
      <c r="H1512" s="1" cm="1">
        <f t="array" ref="H1512">SUMPRODUCT(("T_TW-icegsl-S1"=[1]OUT_TransportEnergyCons!$A$3:$A$1000)*1,("Var_Fin"=[1]OUT_TransportEnergyCons!$B$3:$B$1000)*1,ISNUMBER(SEARCH("gsl",[1]OUT_TransportEnergyCons!$C$3:$C$1000))*1,[1]OUT_TransportEnergyCons!F$3:F$1000)</f>
        <v>0.34265104048705514</v>
      </c>
      <c r="I1512" s="1" cm="1">
        <f t="array" ref="I1512">SUMPRODUCT(("T_TW-icegsl-S1"=[1]OUT_TransportEnergyCons!$A$3:$A$1000)*1,("Var_Fin"=[1]OUT_TransportEnergyCons!$B$3:$B$1000)*1,ISNUMBER(SEARCH("gsl",[1]OUT_TransportEnergyCons!$C$3:$C$1000))*1,[1]OUT_TransportEnergyCons!G$3:G$1000)</f>
        <v>0.60922997015366687</v>
      </c>
      <c r="J1512" s="1" cm="1">
        <f t="array" ref="J1512">SUMPRODUCT(("T_TW-icegsl-S1"=[1]OUT_TransportEnergyCons!$A$3:$A$1000)*1,("Var_Fin"=[1]OUT_TransportEnergyCons!$B$3:$B$1000)*1,ISNUMBER(SEARCH("gsl",[1]OUT_TransportEnergyCons!$C$3:$C$1000))*1,[1]OUT_TransportEnergyCons!H$3:H$1000)</f>
        <v>7.4481024280027997E-3</v>
      </c>
      <c r="K1512" s="1" cm="1">
        <f t="array" ref="K1512">SUMPRODUCT(("T_TW-icegsl-S1"=[1]OUT_TransportEnergyCons!$A$3:$A$1000)*1,("Var_Fin"=[1]OUT_TransportEnergyCons!$B$3:$B$1000)*1,ISNUMBER(SEARCH("gsl",[1]OUT_TransportEnergyCons!$C$3:$C$1000))*1,[1]OUT_TransportEnergyCons!I$3:I$1000)</f>
        <v>6.9263691850995456E-5</v>
      </c>
    </row>
    <row r="1513" spans="2:11" x14ac:dyDescent="0.35">
      <c r="B1513" t="str">
        <f t="shared" si="887"/>
        <v>SPS3</v>
      </c>
      <c r="C1513" t="str">
        <f t="shared" si="935"/>
        <v>CH</v>
      </c>
      <c r="D1513" t="s">
        <v>1580</v>
      </c>
      <c r="E1513" t="str">
        <f t="shared" ref="E1513:E1515" si="944">E1512</f>
        <v>PJ/yr.</v>
      </c>
      <c r="F1513" s="1" cm="1">
        <f t="array" ref="F1513">SUMPRODUCT(("T_TW-icegsl-S2"=[1]OUT_TransportEnergyCons!$A$3:$A$1000)*1,("Var_Fin"=[1]OUT_TransportEnergyCons!$B$3:$B$1000)*1,ISNUMBER(SEARCH("gsl",[1]OUT_TransportEnergyCons!$C$3:$C$1000))*1,[1]OUT_TransportEnergyCons!D$3:D$1000)</f>
        <v>0.1119544035333639</v>
      </c>
      <c r="G1513" s="1" cm="1">
        <f t="array" ref="G1513">SUMPRODUCT(("T_TW-icegsl-S2"=[1]OUT_TransportEnergyCons!$A$3:$A$1000)*1,("Var_Fin"=[1]OUT_TransportEnergyCons!$B$3:$B$1000)*1,ISNUMBER(SEARCH("gsl",[1]OUT_TransportEnergyCons!$C$3:$C$1000))*1,[1]OUT_TransportEnergyCons!E$3:E$1000)</f>
        <v>0.16323143770336077</v>
      </c>
      <c r="H1513" s="1" cm="1">
        <f t="array" ref="H1513">SUMPRODUCT(("T_TW-icegsl-S2"=[1]OUT_TransportEnergyCons!$A$3:$A$1000)*1,("Var_Fin"=[1]OUT_TransportEnergyCons!$B$3:$B$1000)*1,ISNUMBER(SEARCH("gsl",[1]OUT_TransportEnergyCons!$C$3:$C$1000))*1,[1]OUT_TransportEnergyCons!F$3:F$1000)</f>
        <v>0.16322897805650871</v>
      </c>
      <c r="I1513" s="1" cm="1">
        <f t="array" ref="I1513">SUMPRODUCT(("T_TW-icegsl-S2"=[1]OUT_TransportEnergyCons!$A$3:$A$1000)*1,("Var_Fin"=[1]OUT_TransportEnergyCons!$B$3:$B$1000)*1,ISNUMBER(SEARCH("gsl",[1]OUT_TransportEnergyCons!$C$3:$C$1000))*1,[1]OUT_TransportEnergyCons!G$3:G$1000)</f>
        <v>0.10364140208888918</v>
      </c>
      <c r="J1513" s="1" cm="1">
        <f t="array" ref="J1513">SUMPRODUCT(("T_TW-icegsl-S2"=[1]OUT_TransportEnergyCons!$A$3:$A$1000)*1,("Var_Fin"=[1]OUT_TransportEnergyCons!$B$3:$B$1000)*1,ISNUMBER(SEARCH("gsl",[1]OUT_TransportEnergyCons!$C$3:$C$1000))*1,[1]OUT_TransportEnergyCons!H$3:H$1000)</f>
        <v>3.2357184981127488E-4</v>
      </c>
      <c r="K1513" s="1" cm="1">
        <f t="array" ref="K1513">SUMPRODUCT(("T_TW-icegsl-S2"=[1]OUT_TransportEnergyCons!$A$3:$A$1000)*1,("Var_Fin"=[1]OUT_TransportEnergyCons!$B$3:$B$1000)*1,ISNUMBER(SEARCH("gsl",[1]OUT_TransportEnergyCons!$C$3:$C$1000))*1,[1]OUT_TransportEnergyCons!I$3:I$1000)</f>
        <v>4.6223072857159231E-5</v>
      </c>
    </row>
    <row r="1514" spans="2:11" x14ac:dyDescent="0.35">
      <c r="B1514" t="str">
        <f t="shared" si="887"/>
        <v>SPS3</v>
      </c>
      <c r="C1514" t="str">
        <f t="shared" si="935"/>
        <v>CH</v>
      </c>
      <c r="D1514" t="s">
        <v>1581</v>
      </c>
      <c r="E1514" t="str">
        <f t="shared" si="944"/>
        <v>PJ/yr.</v>
      </c>
      <c r="F1514" s="1" cm="1">
        <f t="array" ref="F1514">SUMPRODUCT(("T_TW-icegsl-S3"=[1]OUT_TransportEnergyCons!$A$3:$A$1000)*1,("Var_Fin"=[1]OUT_TransportEnergyCons!$B$3:$B$1000)*1,ISNUMBER(SEARCH("gsl",[1]OUT_TransportEnergyCons!$C$3:$C$1000))*1,[1]OUT_TransportEnergyCons!D$3:D$1000)</f>
        <v>0.16581563741616989</v>
      </c>
      <c r="G1514" s="1" cm="1">
        <f t="array" ref="G1514">SUMPRODUCT(("T_TW-icegsl-S3"=[1]OUT_TransportEnergyCons!$A$3:$A$1000)*1,("Var_Fin"=[1]OUT_TransportEnergyCons!$B$3:$B$1000)*1,ISNUMBER(SEARCH("gsl",[1]OUT_TransportEnergyCons!$C$3:$C$1000))*1,[1]OUT_TransportEnergyCons!E$3:E$1000)</f>
        <v>0.20041787262373936</v>
      </c>
      <c r="H1514" s="1" cm="1">
        <f t="array" ref="H1514">SUMPRODUCT(("T_TW-icegsl-S3"=[1]OUT_TransportEnergyCons!$A$3:$A$1000)*1,("Var_Fin"=[1]OUT_TransportEnergyCons!$B$3:$B$1000)*1,ISNUMBER(SEARCH("gsl",[1]OUT_TransportEnergyCons!$C$3:$C$1000))*1,[1]OUT_TransportEnergyCons!F$3:F$1000)</f>
        <v>0.20603310723447851</v>
      </c>
      <c r="I1514" s="1" cm="1">
        <f t="array" ref="I1514">SUMPRODUCT(("T_TW-icegsl-S3"=[1]OUT_TransportEnergyCons!$A$3:$A$1000)*1,("Var_Fin"=[1]OUT_TransportEnergyCons!$B$3:$B$1000)*1,ISNUMBER(SEARCH("gsl",[1]OUT_TransportEnergyCons!$C$3:$C$1000))*1,[1]OUT_TransportEnergyCons!G$3:G$1000)</f>
        <v>0.19824546250425659</v>
      </c>
      <c r="J1514" s="1" cm="1">
        <f t="array" ref="J1514">SUMPRODUCT(("T_TW-icegsl-S3"=[1]OUT_TransportEnergyCons!$A$3:$A$1000)*1,("Var_Fin"=[1]OUT_TransportEnergyCons!$B$3:$B$1000)*1,ISNUMBER(SEARCH("gsl",[1]OUT_TransportEnergyCons!$C$3:$C$1000))*1,[1]OUT_TransportEnergyCons!H$3:H$1000)</f>
        <v>7.3527707842850035E-4</v>
      </c>
      <c r="K1514" s="1" cm="1">
        <f t="array" ref="K1514">SUMPRODUCT(("T_TW-icegsl-S3"=[1]OUT_TransportEnergyCons!$A$3:$A$1000)*1,("Var_Fin"=[1]OUT_TransportEnergyCons!$B$3:$B$1000)*1,ISNUMBER(SEARCH("gsl",[1]OUT_TransportEnergyCons!$C$3:$C$1000))*1,[1]OUT_TransportEnergyCons!I$3:I$1000)</f>
        <v>4.6928928550335534E-5</v>
      </c>
    </row>
    <row r="1515" spans="2:11" x14ac:dyDescent="0.35">
      <c r="B1515" t="str">
        <f t="shared" si="887"/>
        <v>SPS3</v>
      </c>
      <c r="C1515" t="str">
        <f t="shared" si="935"/>
        <v>CH</v>
      </c>
      <c r="D1515" t="s">
        <v>1582</v>
      </c>
      <c r="E1515" t="str">
        <f t="shared" si="944"/>
        <v>PJ/yr.</v>
      </c>
      <c r="F1515" s="1" cm="1">
        <f t="array" ref="F1515">SUMPRODUCT(("T_TW-icegsl-S4"=[1]OUT_TransportEnergyCons!$A$3:$A$1000)*1,("Var_Fin"=[1]OUT_TransportEnergyCons!$B$3:$B$1000)*1,ISNUMBER(SEARCH("gsl",[1]OUT_TransportEnergyCons!$C$3:$C$1000))*1,[1]OUT_TransportEnergyCons!D$3:D$1000)</f>
        <v>0.10775702072419184</v>
      </c>
      <c r="G1515" s="1" cm="1">
        <f t="array" ref="G1515">SUMPRODUCT(("T_TW-icegsl-S4"=[1]OUT_TransportEnergyCons!$A$3:$A$1000)*1,("Var_Fin"=[1]OUT_TransportEnergyCons!$B$3:$B$1000)*1,ISNUMBER(SEARCH("gsl",[1]OUT_TransportEnergyCons!$C$3:$C$1000))*1,[1]OUT_TransportEnergyCons!E$3:E$1000)</f>
        <v>0.12756391389424135</v>
      </c>
      <c r="H1515" s="1" cm="1">
        <f t="array" ref="H1515">SUMPRODUCT(("T_TW-icegsl-S4"=[1]OUT_TransportEnergyCons!$A$3:$A$1000)*1,("Var_Fin"=[1]OUT_TransportEnergyCons!$B$3:$B$1000)*1,ISNUMBER(SEARCH("gsl",[1]OUT_TransportEnergyCons!$C$3:$C$1000))*1,[1]OUT_TransportEnergyCons!F$3:F$1000)</f>
        <v>0.13116120925219873</v>
      </c>
      <c r="I1515" s="1" cm="1">
        <f t="array" ref="I1515">SUMPRODUCT(("T_TW-icegsl-S4"=[1]OUT_TransportEnergyCons!$A$3:$A$1000)*1,("Var_Fin"=[1]OUT_TransportEnergyCons!$B$3:$B$1000)*1,ISNUMBER(SEARCH("gsl",[1]OUT_TransportEnergyCons!$C$3:$C$1000))*1,[1]OUT_TransportEnergyCons!G$3:G$1000)</f>
        <v>0.1269193261745426</v>
      </c>
      <c r="J1515" s="1" cm="1">
        <f t="array" ref="J1515">SUMPRODUCT(("T_TW-icegsl-S4"=[1]OUT_TransportEnergyCons!$A$3:$A$1000)*1,("Var_Fin"=[1]OUT_TransportEnergyCons!$B$3:$B$1000)*1,ISNUMBER(SEARCH("gsl",[1]OUT_TransportEnergyCons!$C$3:$C$1000))*1,[1]OUT_TransportEnergyCons!H$3:H$1000)</f>
        <v>8.1838829566018055E-4</v>
      </c>
      <c r="K1515" s="1" cm="1">
        <f t="array" ref="K1515">SUMPRODUCT(("T_TW-icegsl-S4"=[1]OUT_TransportEnergyCons!$A$3:$A$1000)*1,("Var_Fin"=[1]OUT_TransportEnergyCons!$B$3:$B$1000)*1,ISNUMBER(SEARCH("gsl",[1]OUT_TransportEnergyCons!$C$3:$C$1000))*1,[1]OUT_TransportEnergyCons!I$3:I$1000)</f>
        <v>9.3509774192212443E-5</v>
      </c>
    </row>
    <row r="1516" spans="2:11" x14ac:dyDescent="0.35">
      <c r="B1516" s="9" t="str">
        <f t="shared" si="887"/>
        <v>SPS3</v>
      </c>
      <c r="C1516" s="9" t="str">
        <f t="shared" si="935"/>
        <v>CH</v>
      </c>
      <c r="D1516" s="2" t="s">
        <v>1504</v>
      </c>
      <c r="E1516" s="2" t="s">
        <v>1518</v>
      </c>
      <c r="F1516" s="3" t="e">
        <f>SUM(#REF!,#REF!,#REF!)</f>
        <v>#REF!</v>
      </c>
      <c r="G1516" s="3" t="e">
        <f>SUM(#REF!,#REF!,#REF!)</f>
        <v>#REF!</v>
      </c>
      <c r="H1516" s="3" t="e">
        <f>SUM(#REF!,#REF!,#REF!)</f>
        <v>#REF!</v>
      </c>
      <c r="I1516" s="3" t="e">
        <f>SUM(#REF!,#REF!,#REF!)</f>
        <v>#REF!</v>
      </c>
      <c r="J1516" s="3" t="e">
        <f>SUM(#REF!,#REF!,#REF!)</f>
        <v>#REF!</v>
      </c>
      <c r="K1516" s="3" t="e">
        <f>SUM(#REF!,#REF!,#REF!)</f>
        <v>#REF!</v>
      </c>
    </row>
    <row r="1517" spans="2:11" x14ac:dyDescent="0.35">
      <c r="B1517" t="str">
        <f t="shared" si="887"/>
        <v>SPS3</v>
      </c>
      <c r="C1517" t="str">
        <f>C1516</f>
        <v>CH</v>
      </c>
      <c r="D1517" t="s">
        <v>1505</v>
      </c>
      <c r="E1517" t="str">
        <f>E1516</f>
        <v>Billion km/yr.</v>
      </c>
      <c r="F1517" s="1" cm="1">
        <f t="array" ref="F1517">SUMPRODUCT(("T_TW-BEVELC-S1"=[1]OUT_TransportEnergyCons!$A$3:$A$1000)*1,("var_fout"=[1]OUT_TransportEnergyCons!$B$3:$B$1000)*1,ISNUMBER(SEARCH("TPTWL",[1]OUT_TransportEnergyCons!$C$3:$C$1000))*1,[1]OUT_TransportEnergyCons!D$3:D$1000)</f>
        <v>1.7644499361617244E-2</v>
      </c>
      <c r="G1517" s="1" cm="1">
        <f t="array" ref="G1517">SUMPRODUCT(("T_TW-BEVELC-S1"=[1]OUT_TransportEnergyCons!$A$3:$A$1000)*1,("var_fout"=[1]OUT_TransportEnergyCons!$B$3:$B$1000)*1,ISNUMBER(SEARCH("TPTWL",[1]OUT_TransportEnergyCons!$C$3:$C$1000))*1,[1]OUT_TransportEnergyCons!E$3:E$1000)</f>
        <v>2.4788208032253886E-2</v>
      </c>
      <c r="H1517" s="1" cm="1">
        <f t="array" ref="H1517">SUMPRODUCT(("T_TW-BEVELC-S1"=[1]OUT_TransportEnergyCons!$A$3:$A$1000)*1,("var_fout"=[1]OUT_TransportEnergyCons!$B$3:$B$1000)*1,ISNUMBER(SEARCH("TPTWL",[1]OUT_TransportEnergyCons!$C$3:$C$1000))*1,[1]OUT_TransportEnergyCons!F$3:F$1000)</f>
        <v>2.6217851047490647E-2</v>
      </c>
      <c r="I1517" s="1" cm="1">
        <f t="array" ref="I1517">SUMPRODUCT(("T_TW-BEVELC-S1"=[1]OUT_TransportEnergyCons!$A$3:$A$1000)*1,("var_fout"=[1]OUT_TransportEnergyCons!$B$3:$B$1000)*1,ISNUMBER(SEARCH("TPTWL",[1]OUT_TransportEnergyCons!$C$3:$C$1000))*1,[1]OUT_TransportEnergyCons!G$3:G$1000)</f>
        <v>2.0193157495645531E-2</v>
      </c>
      <c r="J1517" s="1" cm="1">
        <f t="array" ref="J1517">SUMPRODUCT(("T_TW-BEVELC-S1"=[1]OUT_TransportEnergyCons!$A$3:$A$1000)*1,("var_fout"=[1]OUT_TransportEnergyCons!$B$3:$B$1000)*1,ISNUMBER(SEARCH("TPTWL",[1]OUT_TransportEnergyCons!$C$3:$C$1000))*1,[1]OUT_TransportEnergyCons!H$3:H$1000)</f>
        <v>1.9413275582395315</v>
      </c>
      <c r="K1517" s="1" cm="1">
        <f t="array" ref="K1517">SUMPRODUCT(("T_TW-BEVELC-S1"=[1]OUT_TransportEnergyCons!$A$3:$A$1000)*1,("var_fout"=[1]OUT_TransportEnergyCons!$B$3:$B$1000)*1,ISNUMBER(SEARCH("TPTWL",[1]OUT_TransportEnergyCons!$C$3:$C$1000))*1,[1]OUT_TransportEnergyCons!I$3:I$1000)</f>
        <v>1.904736045016489</v>
      </c>
    </row>
    <row r="1518" spans="2:11" x14ac:dyDescent="0.35">
      <c r="B1518" t="str">
        <f t="shared" si="887"/>
        <v>SPS3</v>
      </c>
      <c r="C1518" t="str">
        <f t="shared" ref="C1518:C1543" si="945">C1517</f>
        <v>CH</v>
      </c>
      <c r="D1518" t="s">
        <v>1506</v>
      </c>
      <c r="E1518" t="str">
        <f t="shared" ref="E1518:E1529" si="946">E1517</f>
        <v>Billion km/yr.</v>
      </c>
      <c r="F1518" s="1" cm="1">
        <f t="array" ref="F1518">SUMPRODUCT(("T_TW-BEVELC-S2"=[1]OUT_TransportEnergyCons!$A$3:$A$1000)*1,("var_fout"=[1]OUT_TransportEnergyCons!$B$3:$B$1000)*1,ISNUMBER(SEARCH("TPTWL",[1]OUT_TransportEnergyCons!$C$3:$C$1000))*1,[1]OUT_TransportEnergyCons!D$3:D$1000)</f>
        <v>2.3297063405585089E-3</v>
      </c>
      <c r="G1518" s="1" cm="1">
        <f t="array" ref="G1518">SUMPRODUCT(("T_TW-BEVELC-S2"=[1]OUT_TransportEnergyCons!$A$3:$A$1000)*1,("var_fout"=[1]OUT_TransportEnergyCons!$B$3:$B$1000)*1,ISNUMBER(SEARCH("TPTWL",[1]OUT_TransportEnergyCons!$C$3:$C$1000))*1,[1]OUT_TransportEnergyCons!E$3:E$1000)</f>
        <v>3.329256264059755E-3</v>
      </c>
      <c r="H1518" s="1" cm="1">
        <f t="array" ref="H1518">SUMPRODUCT(("T_TW-BEVELC-S2"=[1]OUT_TransportEnergyCons!$A$3:$A$1000)*1,("var_fout"=[1]OUT_TransportEnergyCons!$B$3:$B$1000)*1,ISNUMBER(SEARCH("TPTWL",[1]OUT_TransportEnergyCons!$C$3:$C$1000))*1,[1]OUT_TransportEnergyCons!F$3:F$1000)</f>
        <v>3.9239967966098552E-3</v>
      </c>
      <c r="I1518" s="1" cm="1">
        <f t="array" ref="I1518">SUMPRODUCT(("T_TW-BEVELC-S2"=[1]OUT_TransportEnergyCons!$A$3:$A$1000)*1,("var_fout"=[1]OUT_TransportEnergyCons!$B$3:$B$1000)*1,ISNUMBER(SEARCH("TPTWL",[1]OUT_TransportEnergyCons!$C$3:$C$1000))*1,[1]OUT_TransportEnergyCons!G$3:G$1000)</f>
        <v>4.075520951146664E-3</v>
      </c>
      <c r="J1518" s="1" cm="1">
        <f t="array" ref="J1518">SUMPRODUCT(("T_TW-BEVELC-S2"=[1]OUT_TransportEnergyCons!$A$3:$A$1000)*1,("var_fout"=[1]OUT_TransportEnergyCons!$B$3:$B$1000)*1,ISNUMBER(SEARCH("TPTWL",[1]OUT_TransportEnergyCons!$C$3:$C$1000))*1,[1]OUT_TransportEnergyCons!H$3:H$1000)</f>
        <v>2.2060802395057707E-3</v>
      </c>
      <c r="K1518" s="1" cm="1">
        <f t="array" ref="K1518">SUMPRODUCT(("T_TW-BEVELC-S2"=[1]OUT_TransportEnergyCons!$A$3:$A$1000)*1,("var_fout"=[1]OUT_TransportEnergyCons!$B$3:$B$1000)*1,ISNUMBER(SEARCH("TPTWL",[1]OUT_TransportEnergyCons!$C$3:$C$1000))*1,[1]OUT_TransportEnergyCons!I$3:I$1000)</f>
        <v>1.2163178918522173E-3</v>
      </c>
    </row>
    <row r="1519" spans="2:11" x14ac:dyDescent="0.35">
      <c r="B1519" t="str">
        <f t="shared" si="887"/>
        <v>SPS3</v>
      </c>
      <c r="C1519" t="str">
        <f t="shared" si="945"/>
        <v>CH</v>
      </c>
      <c r="D1519" t="s">
        <v>1507</v>
      </c>
      <c r="E1519" t="str">
        <f t="shared" si="946"/>
        <v>Billion km/yr.</v>
      </c>
      <c r="F1519" s="1" cm="1">
        <f t="array" ref="F1519">SUMPRODUCT(("T_TW-BEVELC-S3"=[1]OUT_TransportEnergyCons!$A$3:$A$1000)*1,("var_fout"=[1]OUT_TransportEnergyCons!$B$3:$B$1000)*1,ISNUMBER(SEARCH("TPTWL",[1]OUT_TransportEnergyCons!$C$3:$C$1000))*1,[1]OUT_TransportEnergyCons!D$3:D$1000)</f>
        <v>4.9876273990120197E-4</v>
      </c>
      <c r="G1519" s="1" cm="1">
        <f t="array" ref="G1519">SUMPRODUCT(("T_TW-BEVELC-S3"=[1]OUT_TransportEnergyCons!$A$3:$A$1000)*1,("var_fout"=[1]OUT_TransportEnergyCons!$B$3:$B$1000)*1,ISNUMBER(SEARCH("TPTWL",[1]OUT_TransportEnergyCons!$C$3:$C$1000))*1,[1]OUT_TransportEnergyCons!E$3:E$1000)</f>
        <v>9.847112669241361E-4</v>
      </c>
      <c r="H1519" s="1" cm="1">
        <f t="array" ref="H1519">SUMPRODUCT(("T_TW-BEVELC-S3"=[1]OUT_TransportEnergyCons!$A$3:$A$1000)*1,("var_fout"=[1]OUT_TransportEnergyCons!$B$3:$B$1000)*1,ISNUMBER(SEARCH("TPTWL",[1]OUT_TransportEnergyCons!$C$3:$C$1000))*1,[1]OUT_TransportEnergyCons!F$3:F$1000)</f>
        <v>1.3272416455009201E-3</v>
      </c>
      <c r="I1519" s="1" cm="1">
        <f t="array" ref="I1519">SUMPRODUCT(("T_TW-BEVELC-S3"=[1]OUT_TransportEnergyCons!$A$3:$A$1000)*1,("var_fout"=[1]OUT_TransportEnergyCons!$B$3:$B$1000)*1,ISNUMBER(SEARCH("TPTWL",[1]OUT_TransportEnergyCons!$C$3:$C$1000))*1,[1]OUT_TransportEnergyCons!G$3:G$1000)</f>
        <v>1.587659370540383E-3</v>
      </c>
      <c r="J1519" s="1" cm="1">
        <f t="array" ref="J1519">SUMPRODUCT(("T_TW-BEVELC-S3"=[1]OUT_TransportEnergyCons!$A$3:$A$1000)*1,("var_fout"=[1]OUT_TransportEnergyCons!$B$3:$B$1000)*1,ISNUMBER(SEARCH("TPTWL",[1]OUT_TransportEnergyCons!$C$3:$C$1000))*1,[1]OUT_TransportEnergyCons!H$3:H$1000)</f>
        <v>1.3927896695592552E-3</v>
      </c>
      <c r="K1519" s="1" cm="1">
        <f t="array" ref="K1519">SUMPRODUCT(("T_TW-BEVELC-S3"=[1]OUT_TransportEnergyCons!$A$3:$A$1000)*1,("var_fout"=[1]OUT_TransportEnergyCons!$B$3:$B$1000)*1,ISNUMBER(SEARCH("TPTWL",[1]OUT_TransportEnergyCons!$C$3:$C$1000))*1,[1]OUT_TransportEnergyCons!I$3:I$1000)</f>
        <v>5.6757377994337999E-4</v>
      </c>
    </row>
    <row r="1520" spans="2:11" x14ac:dyDescent="0.35">
      <c r="B1520" t="str">
        <f t="shared" si="887"/>
        <v>SPS3</v>
      </c>
      <c r="C1520" t="str">
        <f t="shared" si="945"/>
        <v>CH</v>
      </c>
      <c r="D1520" t="s">
        <v>1508</v>
      </c>
      <c r="E1520" t="str">
        <f t="shared" si="946"/>
        <v>Billion km/yr.</v>
      </c>
      <c r="F1520" s="1" cm="1">
        <f t="array" ref="F1520">SUMPRODUCT(("T_TW-BEVELC-S4"=[1]OUT_TransportEnergyCons!$A$3:$A$1000)*1,("var_fout"=[1]OUT_TransportEnergyCons!$B$3:$B$1000)*1,ISNUMBER(SEARCH("TPTWL",[1]OUT_TransportEnergyCons!$C$3:$C$1000))*1,[1]OUT_TransportEnergyCons!D$3:D$1000)</f>
        <v>5.3874760795474103E-4</v>
      </c>
      <c r="G1520" s="1" cm="1">
        <f t="array" ref="G1520">SUMPRODUCT(("T_TW-BEVELC-S4"=[1]OUT_TransportEnergyCons!$A$3:$A$1000)*1,("var_fout"=[1]OUT_TransportEnergyCons!$B$3:$B$1000)*1,ISNUMBER(SEARCH("TPTWL",[1]OUT_TransportEnergyCons!$C$3:$C$1000))*1,[1]OUT_TransportEnergyCons!E$3:E$1000)</f>
        <v>9.6055285001566142E-4</v>
      </c>
      <c r="H1520" s="1" cm="1">
        <f t="array" ref="H1520">SUMPRODUCT(("T_TW-BEVELC-S4"=[1]OUT_TransportEnergyCons!$A$3:$A$1000)*1,("var_fout"=[1]OUT_TransportEnergyCons!$B$3:$B$1000)*1,ISNUMBER(SEARCH("TPTWL",[1]OUT_TransportEnergyCons!$C$3:$C$1000))*1,[1]OUT_TransportEnergyCons!F$3:F$1000)</f>
        <v>1.3452826510604878E-3</v>
      </c>
      <c r="I1520" s="1" cm="1">
        <f t="array" ref="I1520">SUMPRODUCT(("T_TW-BEVELC-S4"=[1]OUT_TransportEnergyCons!$A$3:$A$1000)*1,("var_fout"=[1]OUT_TransportEnergyCons!$B$3:$B$1000)*1,ISNUMBER(SEARCH("TPTWL",[1]OUT_TransportEnergyCons!$C$3:$C$1000))*1,[1]OUT_TransportEnergyCons!G$3:G$1000)</f>
        <v>1.5774809681182661E-3</v>
      </c>
      <c r="J1520" s="1" cm="1">
        <f t="array" ref="J1520">SUMPRODUCT(("T_TW-BEVELC-S4"=[1]OUT_TransportEnergyCons!$A$3:$A$1000)*1,("var_fout"=[1]OUT_TransportEnergyCons!$B$3:$B$1000)*1,ISNUMBER(SEARCH("TPTWL",[1]OUT_TransportEnergyCons!$C$3:$C$1000))*1,[1]OUT_TransportEnergyCons!H$3:H$1000)</f>
        <v>1.9346727503452483E-3</v>
      </c>
      <c r="K1520" s="1" cm="1">
        <f t="array" ref="K1520">SUMPRODUCT(("T_TW-BEVELC-S4"=[1]OUT_TransportEnergyCons!$A$3:$A$1000)*1,("var_fout"=[1]OUT_TransportEnergyCons!$B$3:$B$1000)*1,ISNUMBER(SEARCH("TPTWL",[1]OUT_TransportEnergyCons!$C$3:$C$1000))*1,[1]OUT_TransportEnergyCons!I$3:I$1000)</f>
        <v>1.04554317317606E-3</v>
      </c>
    </row>
    <row r="1521" spans="2:11" x14ac:dyDescent="0.35">
      <c r="B1521" t="str">
        <f t="shared" si="887"/>
        <v>SPS3</v>
      </c>
      <c r="C1521" t="str">
        <f t="shared" si="945"/>
        <v>CH</v>
      </c>
      <c r="D1521" t="s">
        <v>1509</v>
      </c>
      <c r="E1521" t="str">
        <f t="shared" si="946"/>
        <v>Billion km/yr.</v>
      </c>
      <c r="F1521" s="1" cm="1">
        <f t="array" ref="F1521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1" s="1" cm="1">
        <f t="array" ref="G1521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1" s="1" cm="1">
        <f t="array" ref="H1521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1" s="1" cm="1">
        <f t="array" ref="I1521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1" s="1" cm="1">
        <f t="array" ref="J1521">SUMPRODUCT(("T_TW-fclh2o-S1"=[1]OUT_TransportEnergyCons!$A$3:$A$1000)*1,("var_fout"=[1]OUT_TransportEnergyCons!$B$3:$B$1000)*1,ISNUMBER(SEARCH("TPTWL",[1]OUT_TransportEnergyCons!$C$3:$C$1000))*1,[1]OUT_TransportEnergyCons!H$3:H$1000)</f>
        <v>7.4711453537459503E-4</v>
      </c>
      <c r="K1521" s="1" cm="1">
        <f t="array" ref="K1521">SUMPRODUCT(("T_TW-fclh2o-S1"=[1]OUT_TransportEnergyCons!$A$3:$A$1000)*1,("var_fout"=[1]OUT_TransportEnergyCons!$B$3:$B$1000)*1,ISNUMBER(SEARCH("TPTWL",[1]OUT_TransportEnergyCons!$C$3:$C$1000))*1,[1]OUT_TransportEnergyCons!I$3:I$1000)</f>
        <v>5.2750538134625562E-4</v>
      </c>
    </row>
    <row r="1522" spans="2:11" x14ac:dyDescent="0.35">
      <c r="B1522" t="str">
        <f t="shared" si="887"/>
        <v>SPS3</v>
      </c>
      <c r="C1522" t="str">
        <f t="shared" si="945"/>
        <v>CH</v>
      </c>
      <c r="D1522" t="s">
        <v>1510</v>
      </c>
      <c r="E1522" t="str">
        <f t="shared" si="946"/>
        <v>Billion km/yr.</v>
      </c>
      <c r="F1522" s="1" cm="1">
        <f t="array" ref="F1522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2" s="1" cm="1">
        <f t="array" ref="G1522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2" s="1" cm="1">
        <f t="array" ref="H1522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2" s="1" cm="1">
        <f t="array" ref="I1522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2" s="1" cm="1">
        <f t="array" ref="J1522">SUMPRODUCT(("T_TW-fclh2o-S2"=[1]OUT_TransportEnergyCons!$A$3:$A$1000)*1,("var_fout"=[1]OUT_TransportEnergyCons!$B$3:$B$1000)*1,ISNUMBER(SEARCH("TPTWL",[1]OUT_TransportEnergyCons!$C$3:$C$1000))*1,[1]OUT_TransportEnergyCons!H$3:H$1000)</f>
        <v>2.6918230980996525E-4</v>
      </c>
      <c r="K1522" s="1" cm="1">
        <f t="array" ref="K1522">SUMPRODUCT(("T_TW-fclh2o-S2"=[1]OUT_TransportEnergyCons!$A$3:$A$1000)*1,("var_fout"=[1]OUT_TransportEnergyCons!$B$3:$B$1000)*1,ISNUMBER(SEARCH("TPTWL",[1]OUT_TransportEnergyCons!$C$3:$C$1000))*1,[1]OUT_TransportEnergyCons!I$3:I$1000)</f>
        <v>2.0526585707822411E-4</v>
      </c>
    </row>
    <row r="1523" spans="2:11" x14ac:dyDescent="0.35">
      <c r="B1523" t="str">
        <f t="shared" si="887"/>
        <v>SPS3</v>
      </c>
      <c r="C1523" t="str">
        <f t="shared" si="945"/>
        <v>CH</v>
      </c>
      <c r="D1523" t="s">
        <v>1511</v>
      </c>
      <c r="E1523" t="str">
        <f t="shared" si="946"/>
        <v>Billion km/yr.</v>
      </c>
      <c r="F1523" s="1" cm="1">
        <f t="array" ref="F1523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SUMPRODUCT(("T_TW-fclh2o-S3"=[1]OUT_TransportEnergyCons!$A$3:$A$1000)*1,("var_fout"=[1]OUT_TransportEnergyCons!$B$3:$B$1000)*1,ISNUMBER(SEARCH("TPTWL",[1]OUT_TransportEnergyCons!$C$3:$C$1000))*1,[1]OUT_TransportEnergyCons!H$3:H$1000)</f>
        <v>1.3237715326978565E-4</v>
      </c>
      <c r="K1523" s="1" cm="1">
        <f t="array" ref="K1523">SUMPRODUCT(("T_TW-fclh2o-S3"=[1]OUT_TransportEnergyCons!$A$3:$A$1000)*1,("var_fout"=[1]OUT_TransportEnergyCons!$B$3:$B$1000)*1,ISNUMBER(SEARCH("TPTWL",[1]OUT_TransportEnergyCons!$C$3:$C$1000))*1,[1]OUT_TransportEnergyCons!I$3:I$1000)</f>
        <v>1.3067162713687174E-4</v>
      </c>
    </row>
    <row r="1524" spans="2:11" x14ac:dyDescent="0.35">
      <c r="B1524" t="str">
        <f t="shared" ref="B1524:B1587" si="947">B1523</f>
        <v>SPS3</v>
      </c>
      <c r="C1524" t="str">
        <f t="shared" si="945"/>
        <v>CH</v>
      </c>
      <c r="D1524" t="s">
        <v>1512</v>
      </c>
      <c r="E1524" t="str">
        <f t="shared" si="946"/>
        <v>Billion km/yr.</v>
      </c>
      <c r="F1524" s="1" cm="1">
        <f t="array" ref="F1524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SUMPRODUCT(("T_TW-fclh2o-S4"=[1]OUT_TransportEnergyCons!$A$3:$A$1000)*1,("var_fout"=[1]OUT_TransportEnergyCons!$B$3:$B$1000)*1,ISNUMBER(SEARCH("TPTWL",[1]OUT_TransportEnergyCons!$C$3:$C$1000))*1,[1]OUT_TransportEnergyCons!H$3:H$1000)</f>
        <v>7.8814856065854565E-5</v>
      </c>
      <c r="K1524" s="1" cm="1">
        <f t="array" ref="K1524">SUMPRODUCT(("T_TW-fclh2o-S4"=[1]OUT_TransportEnergyCons!$A$3:$A$1000)*1,("var_fout"=[1]OUT_TransportEnergyCons!$B$3:$B$1000)*1,ISNUMBER(SEARCH("TPTWL",[1]OUT_TransportEnergyCons!$C$3:$C$1000))*1,[1]OUT_TransportEnergyCons!I$3:I$1000)</f>
        <v>9.2632517949639684E-5</v>
      </c>
    </row>
    <row r="1525" spans="2:11" x14ac:dyDescent="0.35">
      <c r="B1525" t="str">
        <f t="shared" si="947"/>
        <v>SPS3</v>
      </c>
      <c r="C1525" t="str">
        <f t="shared" si="945"/>
        <v>CH</v>
      </c>
      <c r="D1525" t="s">
        <v>1513</v>
      </c>
      <c r="E1525" t="str">
        <f t="shared" si="946"/>
        <v>Billion km/yr.</v>
      </c>
      <c r="F1525" s="1" cm="1">
        <f t="array" ref="F1525">SUMPRODUCT(("T_TW-ICEGSLEXT"=[1]OUT_TransportEnergyCons!$A$3:$A$1000)*1,("var_fout"=[1]OUT_TransportEnergyCons!$B$3:$B$1000)*1,ISNUMBER(SEARCH("TPTWL",[1]OUT_TransportEnergyCons!$C$3:$C$1000))*1,[1]OUT_TransportEnergyCons!D$3:D$1000)</f>
        <v>1.5267007682409273</v>
      </c>
      <c r="G1525" s="1" cm="1">
        <f t="array" ref="G1525">SUMPRODUCT(("T_TW-ICEGSLEXT"=[1]OUT_TransportEnergyCons!$A$3:$A$1000)*1,("var_fout"=[1]OUT_TransportEnergyCons!$B$3:$B$1000)*1,ISNUMBER(SEARCH("TPTWL",[1]OUT_TransportEnergyCons!$C$3:$C$1000))*1,[1]OUT_TransportEnergyCons!E$3:E$1000)</f>
        <v>1.1763287484820701</v>
      </c>
      <c r="H1525" s="1" cm="1">
        <f t="array" ref="H1525">SUMPRODUCT(("T_TW-ICEGSLEXT"=[1]OUT_TransportEnergyCons!$A$3:$A$1000)*1,("var_fout"=[1]OUT_TransportEnergyCons!$B$3:$B$1000)*1,ISNUMBER(SEARCH("TPTWL",[1]OUT_TransportEnergyCons!$C$3:$C$1000))*1,[1]OUT_TransportEnergyCons!F$3:F$1000)</f>
        <v>0.83884954510076581</v>
      </c>
      <c r="I1525" s="1" cm="1">
        <f t="array" ref="I1525">SUMPRODUCT(("T_TW-ICEGSLEXT"=[1]OUT_TransportEnergyCons!$A$3:$A$1000)*1,("var_fout"=[1]OUT_TransportEnergyCons!$B$3:$B$1000)*1,ISNUMBER(SEARCH("TPTWL",[1]OUT_TransportEnergyCons!$C$3:$C$1000))*1,[1]OUT_TransportEnergyCons!G$3:G$1000)</f>
        <v>0.38607023325068052</v>
      </c>
      <c r="J1525" s="1" cm="1">
        <f t="array" ref="J1525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5" s="1" cm="1">
        <f t="array" ref="K1525">SUMPRODUCT(("T_TW-ICEGSLEXT"=[1]OUT_TransportEnergyCons!$A$3:$A$1000)*1,("var_fout"=[1]OUT_TransportEnergyCons!$B$3:$B$1000)*1,ISNUMBER(SEARCH("TPTWL",[1]OUT_TransportEnergyCons!$C$3:$C$1000))*1,[1]OUT_TransportEnergyCons!I$3:I$1000)</f>
        <v>0</v>
      </c>
    </row>
    <row r="1526" spans="2:11" x14ac:dyDescent="0.35">
      <c r="B1526" t="str">
        <f t="shared" si="947"/>
        <v>SPS3</v>
      </c>
      <c r="C1526" t="str">
        <f t="shared" si="945"/>
        <v>CH</v>
      </c>
      <c r="D1526" t="s">
        <v>1514</v>
      </c>
      <c r="E1526" t="str">
        <f t="shared" si="946"/>
        <v>Billion km/yr.</v>
      </c>
      <c r="F1526" s="1" cm="1">
        <f t="array" ref="F1526">SUMPRODUCT(("T_TW-icegsl-S1"=[1]OUT_TransportEnergyCons!$A$3:$A$1000)*1,("var_fout"=[1]OUT_TransportEnergyCons!$B$3:$B$1000)*1,ISNUMBER(SEARCH("TPTWL",[1]OUT_TransportEnergyCons!$C$3:$C$1000))*1,[1]OUT_TransportEnergyCons!D$3:D$1000)</f>
        <v>8.4281997325745386E-2</v>
      </c>
      <c r="G1526" s="1" cm="1">
        <f t="array" ref="G1526">SUMPRODUCT(("T_TW-icegsl-S1"=[1]OUT_TransportEnergyCons!$A$3:$A$1000)*1,("var_fout"=[1]OUT_TransportEnergyCons!$B$3:$B$1000)*1,ISNUMBER(SEARCH("TPTWL",[1]OUT_TransportEnergyCons!$C$3:$C$1000))*1,[1]OUT_TransportEnergyCons!E$3:E$1000)</f>
        <v>0.3322147172277255</v>
      </c>
      <c r="H1526" s="1" cm="1">
        <f t="array" ref="H1526">SUMPRODUCT(("T_TW-icegsl-S1"=[1]OUT_TransportEnergyCons!$A$3:$A$1000)*1,("var_fout"=[1]OUT_TransportEnergyCons!$B$3:$B$1000)*1,ISNUMBER(SEARCH("TPTWL",[1]OUT_TransportEnergyCons!$C$3:$C$1000))*1,[1]OUT_TransportEnergyCons!F$3:F$1000)</f>
        <v>0.66357676304874724</v>
      </c>
      <c r="I1526" s="1" cm="1">
        <f t="array" ref="I1526">SUMPRODUCT(("T_TW-icegsl-S1"=[1]OUT_TransportEnergyCons!$A$3:$A$1000)*1,("var_fout"=[1]OUT_TransportEnergyCons!$B$3:$B$1000)*1,ISNUMBER(SEARCH("TPTWL",[1]OUT_TransportEnergyCons!$C$3:$C$1000))*1,[1]OUT_TransportEnergyCons!G$3:G$1000)</f>
        <v>1.201455803366297</v>
      </c>
      <c r="J1526" s="1" cm="1">
        <f t="array" ref="J1526">SUMPRODUCT(("T_TW-icegsl-S1"=[1]OUT_TransportEnergyCons!$A$3:$A$1000)*1,("var_fout"=[1]OUT_TransportEnergyCons!$B$3:$B$1000)*1,ISNUMBER(SEARCH("TPTWL",[1]OUT_TransportEnergyCons!$C$3:$C$1000))*1,[1]OUT_TransportEnergyCons!H$3:H$1000)</f>
        <v>1.4896555129675962E-2</v>
      </c>
      <c r="K1526" s="1" cm="1">
        <f t="array" ref="K1526">SUMPRODUCT(("T_TW-icegsl-S1"=[1]OUT_TransportEnergyCons!$A$3:$A$1000)*1,("var_fout"=[1]OUT_TransportEnergyCons!$B$3:$B$1000)*1,ISNUMBER(SEARCH("TPTWL",[1]OUT_TransportEnergyCons!$C$3:$C$1000))*1,[1]OUT_TransportEnergyCons!I$3:I$1000)</f>
        <v>1.4537879507223514E-4</v>
      </c>
    </row>
    <row r="1527" spans="2:11" x14ac:dyDescent="0.35">
      <c r="B1527" t="str">
        <f t="shared" si="947"/>
        <v>SPS3</v>
      </c>
      <c r="C1527" t="str">
        <f t="shared" si="945"/>
        <v>CH</v>
      </c>
      <c r="D1527" t="s">
        <v>1515</v>
      </c>
      <c r="E1527" t="str">
        <f t="shared" si="946"/>
        <v>Billion km/yr.</v>
      </c>
      <c r="F1527" s="1" cm="1">
        <f t="array" ref="F1527">SUMPRODUCT(("T_TW-icegsl-S2"=[1]OUT_TransportEnergyCons!$A$3:$A$1000)*1,("var_fout"=[1]OUT_TransportEnergyCons!$B$3:$B$1000)*1,ISNUMBER(SEARCH("TPTWL",[1]OUT_TransportEnergyCons!$C$3:$C$1000))*1,[1]OUT_TransportEnergyCons!D$3:D$1000)</f>
        <v>0.12345917219605829</v>
      </c>
      <c r="G1527" s="1" cm="1">
        <f t="array" ref="G1527">SUMPRODUCT(("T_TW-icegsl-S2"=[1]OUT_TransportEnergyCons!$A$3:$A$1000)*1,("var_fout"=[1]OUT_TransportEnergyCons!$B$3:$B$1000)*1,ISNUMBER(SEARCH("TPTWL",[1]OUT_TransportEnergyCons!$C$3:$C$1000))*1,[1]OUT_TransportEnergyCons!E$3:E$1000)</f>
        <v>0.18025900240823101</v>
      </c>
      <c r="H1527" s="1" cm="1">
        <f t="array" ref="H1527">SUMPRODUCT(("T_TW-icegsl-S2"=[1]OUT_TransportEnergyCons!$A$3:$A$1000)*1,("var_fout"=[1]OUT_TransportEnergyCons!$B$3:$B$1000)*1,ISNUMBER(SEARCH("TPTWL",[1]OUT_TransportEnergyCons!$C$3:$C$1000))*1,[1]OUT_TransportEnergyCons!F$3:F$1000)</f>
        <v>0.18026951190304355</v>
      </c>
      <c r="I1527" s="1" cm="1">
        <f t="array" ref="I1527">SUMPRODUCT(("T_TW-icegsl-S2"=[1]OUT_TransportEnergyCons!$A$3:$A$1000)*1,("var_fout"=[1]OUT_TransportEnergyCons!$B$3:$B$1000)*1,ISNUMBER(SEARCH("TPTWL",[1]OUT_TransportEnergyCons!$C$3:$C$1000))*1,[1]OUT_TransportEnergyCons!G$3:G$1000)</f>
        <v>0.11450533454336802</v>
      </c>
      <c r="J1527" s="1" cm="1">
        <f t="array" ref="J1527">SUMPRODUCT(("T_TW-icegsl-S2"=[1]OUT_TransportEnergyCons!$A$3:$A$1000)*1,("var_fout"=[1]OUT_TransportEnergyCons!$B$3:$B$1000)*1,ISNUMBER(SEARCH("TPTWL",[1]OUT_TransportEnergyCons!$C$3:$C$1000))*1,[1]OUT_TransportEnergyCons!H$3:H$1000)</f>
        <v>3.7889818850138119E-4</v>
      </c>
      <c r="K1527" s="1" cm="1">
        <f t="array" ref="K1527">SUMPRODUCT(("T_TW-icegsl-S2"=[1]OUT_TransportEnergyCons!$A$3:$A$1000)*1,("var_fout"=[1]OUT_TransportEnergyCons!$B$3:$B$1000)*1,ISNUMBER(SEARCH("TPTWL",[1]OUT_TransportEnergyCons!$C$3:$C$1000))*1,[1]OUT_TransportEnergyCons!I$3:I$1000)</f>
        <v>5.5839522672353984E-5</v>
      </c>
    </row>
    <row r="1528" spans="2:11" x14ac:dyDescent="0.35">
      <c r="B1528" t="str">
        <f t="shared" si="947"/>
        <v>SPS3</v>
      </c>
      <c r="C1528" t="str">
        <f t="shared" si="945"/>
        <v>CH</v>
      </c>
      <c r="D1528" t="s">
        <v>1516</v>
      </c>
      <c r="E1528" t="str">
        <f t="shared" si="946"/>
        <v>Billion km/yr.</v>
      </c>
      <c r="F1528" s="1" cm="1">
        <f t="array" ref="F1528">SUMPRODUCT(("T_TW-icegsl-S3"=[1]OUT_TransportEnergyCons!$A$3:$A$1000)*1,("var_fout"=[1]OUT_TransportEnergyCons!$B$3:$B$1000)*1,ISNUMBER(SEARCH("TPTWL",[1]OUT_TransportEnergyCons!$C$3:$C$1000))*1,[1]OUT_TransportEnergyCons!D$3:D$1000)</f>
        <v>0.12095039970960872</v>
      </c>
      <c r="G1528" s="1" cm="1">
        <f t="array" ref="G1528">SUMPRODUCT(("T_TW-icegsl-S3"=[1]OUT_TransportEnergyCons!$A$3:$A$1000)*1,("var_fout"=[1]OUT_TransportEnergyCons!$B$3:$B$1000)*1,ISNUMBER(SEARCH("TPTWL",[1]OUT_TransportEnergyCons!$C$3:$C$1000))*1,[1]OUT_TransportEnergyCons!E$3:E$1000)</f>
        <v>0.14634058499129851</v>
      </c>
      <c r="H1528" s="1" cm="1">
        <f t="array" ref="H1528">SUMPRODUCT(("T_TW-icegsl-S3"=[1]OUT_TransportEnergyCons!$A$3:$A$1000)*1,("var_fout"=[1]OUT_TransportEnergyCons!$B$3:$B$1000)*1,ISNUMBER(SEARCH("TPTWL",[1]OUT_TransportEnergyCons!$C$3:$C$1000))*1,[1]OUT_TransportEnergyCons!F$3:F$1000)</f>
        <v>0.1504443114972458</v>
      </c>
      <c r="I1528" s="1" cm="1">
        <f t="array" ref="I1528">SUMPRODUCT(("T_TW-icegsl-S3"=[1]OUT_TransportEnergyCons!$A$3:$A$1000)*1,("var_fout"=[1]OUT_TransportEnergyCons!$B$3:$B$1000)*1,ISNUMBER(SEARCH("TPTWL",[1]OUT_TransportEnergyCons!$C$3:$C$1000))*1,[1]OUT_TransportEnergyCons!G$3:G$1000)</f>
        <v>0.14476322082462384</v>
      </c>
      <c r="J1528" s="1" cm="1">
        <f t="array" ref="J1528">SUMPRODUCT(("T_TW-icegsl-S3"=[1]OUT_TransportEnergyCons!$A$3:$A$1000)*1,("var_fout"=[1]OUT_TransportEnergyCons!$B$3:$B$1000)*1,ISNUMBER(SEARCH("TPTWL",[1]OUT_TransportEnergyCons!$C$3:$C$1000))*1,[1]OUT_TransportEnergyCons!H$3:H$1000)</f>
        <v>5.4881055498545803E-4</v>
      </c>
      <c r="K1528" s="1" cm="1">
        <f t="array" ref="K1528">SUMPRODUCT(("T_TW-icegsl-S3"=[1]OUT_TransportEnergyCons!$A$3:$A$1000)*1,("var_fout"=[1]OUT_TransportEnergyCons!$B$3:$B$1000)*1,ISNUMBER(SEARCH("TPTWL",[1]OUT_TransportEnergyCons!$C$3:$C$1000))*1,[1]OUT_TransportEnergyCons!I$3:I$1000)</f>
        <v>3.6970229988313882E-5</v>
      </c>
    </row>
    <row r="1529" spans="2:11" x14ac:dyDescent="0.35">
      <c r="B1529" t="str">
        <f t="shared" si="947"/>
        <v>SPS3</v>
      </c>
      <c r="C1529" t="str">
        <f t="shared" si="945"/>
        <v>CH</v>
      </c>
      <c r="D1529" t="s">
        <v>1517</v>
      </c>
      <c r="E1529" t="str">
        <f t="shared" si="946"/>
        <v>Billion km/yr.</v>
      </c>
      <c r="F1529" s="1" cm="1">
        <f t="array" ref="F1529">SUMPRODUCT(("T_TW-icegsl-S4"=[1]OUT_TransportEnergyCons!$A$3:$A$1000)*1,("var_fout"=[1]OUT_TransportEnergyCons!$B$3:$B$1000)*1,ISNUMBER(SEARCH("TPTWL",[1]OUT_TransportEnergyCons!$C$3:$C$1000))*1,[1]OUT_TransportEnergyCons!D$3:D$1000)</f>
        <v>7.2822374048528329E-2</v>
      </c>
      <c r="G1529" s="1" cm="1">
        <f t="array" ref="G1529">SUMPRODUCT(("T_TW-icegsl-S4"=[1]OUT_TransportEnergyCons!$A$3:$A$1000)*1,("var_fout"=[1]OUT_TransportEnergyCons!$B$3:$B$1000)*1,ISNUMBER(SEARCH("TPTWL",[1]OUT_TransportEnergyCons!$C$3:$C$1000))*1,[1]OUT_TransportEnergyCons!E$3:E$1000)</f>
        <v>8.6286475658262696E-2</v>
      </c>
      <c r="H1529" s="1" cm="1">
        <f t="array" ref="H1529">SUMPRODUCT(("T_TW-icegsl-S4"=[1]OUT_TransportEnergyCons!$A$3:$A$1000)*1,("var_fout"=[1]OUT_TransportEnergyCons!$B$3:$B$1000)*1,ISNUMBER(SEARCH("TPTWL",[1]OUT_TransportEnergyCons!$C$3:$C$1000))*1,[1]OUT_TransportEnergyCons!F$3:F$1000)</f>
        <v>8.8721502615287065E-2</v>
      </c>
      <c r="I1529" s="1" cm="1">
        <f t="array" ref="I1529">SUMPRODUCT(("T_TW-icegsl-S4"=[1]OUT_TransportEnergyCons!$A$3:$A$1000)*1,("var_fout"=[1]OUT_TransportEnergyCons!$B$3:$B$1000)*1,ISNUMBER(SEARCH("TPTWL",[1]OUT_TransportEnergyCons!$C$3:$C$1000))*1,[1]OUT_TransportEnergyCons!G$3:G$1000)</f>
        <v>8.5854725739037213E-2</v>
      </c>
      <c r="J1529" s="1" cm="1">
        <f t="array" ref="J1529">SUMPRODUCT(("T_TW-icegsl-S4"=[1]OUT_TransportEnergyCons!$A$3:$A$1000)*1,("var_fout"=[1]OUT_TransportEnergyCons!$B$3:$B$1000)*1,ISNUMBER(SEARCH("TPTWL",[1]OUT_TransportEnergyCons!$C$3:$C$1000))*1,[1]OUT_TransportEnergyCons!H$3:H$1000)</f>
        <v>5.6162351525306669E-4</v>
      </c>
      <c r="K1529" s="1" cm="1">
        <f t="array" ref="K1529">SUMPRODUCT(("T_TW-icegsl-S4"=[1]OUT_TransportEnergyCons!$A$3:$A$1000)*1,("var_fout"=[1]OUT_TransportEnergyCons!$B$3:$B$1000)*1,ISNUMBER(SEARCH("TPTWL",[1]OUT_TransportEnergyCons!$C$3:$C$1000))*1,[1]OUT_TransportEnergyCons!I$3:I$1000)</f>
        <v>6.5909499630016622E-5</v>
      </c>
    </row>
    <row r="1530" spans="2:11" x14ac:dyDescent="0.35">
      <c r="B1530" s="9" t="str">
        <f t="shared" si="947"/>
        <v>SPS3</v>
      </c>
      <c r="C1530" s="9" t="str">
        <f t="shared" si="945"/>
        <v>CH</v>
      </c>
      <c r="D1530" s="2" t="s">
        <v>1519</v>
      </c>
      <c r="E1530" s="2" t="s">
        <v>1230</v>
      </c>
      <c r="F1530" s="23" t="s">
        <v>1528</v>
      </c>
      <c r="G1530" s="23" t="s">
        <v>1528</v>
      </c>
      <c r="H1530" s="23" t="s">
        <v>1528</v>
      </c>
      <c r="I1530" s="23" t="s">
        <v>1528</v>
      </c>
      <c r="J1530" s="23" t="s">
        <v>1528</v>
      </c>
      <c r="K1530" s="23" t="s">
        <v>1528</v>
      </c>
    </row>
    <row r="1531" spans="2:11" x14ac:dyDescent="0.35">
      <c r="B1531" t="str">
        <f t="shared" si="947"/>
        <v>SPS3</v>
      </c>
      <c r="C1531" t="str">
        <f t="shared" si="945"/>
        <v>CH</v>
      </c>
      <c r="D1531" t="s">
        <v>1520</v>
      </c>
      <c r="E1531" t="s">
        <v>1230</v>
      </c>
      <c r="F1531" s="1">
        <f t="shared" ref="F1531:K1534" si="948">IFERROR(F1517/F1497,"-")</f>
        <v>11.098927012431908</v>
      </c>
      <c r="G1531" s="1">
        <f t="shared" si="948"/>
        <v>11.108273224563725</v>
      </c>
      <c r="H1531" s="1">
        <f t="shared" si="948"/>
        <v>11.116371925207622</v>
      </c>
      <c r="I1531" s="1">
        <f t="shared" si="948"/>
        <v>11.151710182497832</v>
      </c>
      <c r="J1531" s="1">
        <f t="shared" si="948"/>
        <v>11.592024573836417</v>
      </c>
      <c r="K1531" s="1">
        <f t="shared" si="948"/>
        <v>11.823951440214199</v>
      </c>
    </row>
    <row r="1532" spans="2:11" x14ac:dyDescent="0.35">
      <c r="B1532" t="str">
        <f t="shared" si="947"/>
        <v>SPS3</v>
      </c>
      <c r="C1532" t="str">
        <f t="shared" si="945"/>
        <v>CH</v>
      </c>
      <c r="D1532" t="s">
        <v>1521</v>
      </c>
      <c r="E1532" t="s">
        <v>1230</v>
      </c>
      <c r="F1532" s="1">
        <f t="shared" si="948"/>
        <v>6.2845243629360077</v>
      </c>
      <c r="G1532" s="1">
        <f t="shared" si="948"/>
        <v>6.2917663577598271</v>
      </c>
      <c r="H1532" s="1">
        <f t="shared" si="948"/>
        <v>6.3046229668354439</v>
      </c>
      <c r="I1532" s="1">
        <f t="shared" si="948"/>
        <v>6.3308305630185604</v>
      </c>
      <c r="J1532" s="1">
        <f t="shared" si="948"/>
        <v>6.5326618041631672</v>
      </c>
      <c r="K1532" s="1">
        <f t="shared" si="948"/>
        <v>6.6179888810212164</v>
      </c>
    </row>
    <row r="1533" spans="2:11" x14ac:dyDescent="0.35">
      <c r="B1533" t="str">
        <f t="shared" si="947"/>
        <v>SPS3</v>
      </c>
      <c r="C1533" t="str">
        <f t="shared" si="945"/>
        <v>CH</v>
      </c>
      <c r="D1533" t="s">
        <v>1522</v>
      </c>
      <c r="E1533" t="s">
        <v>1230</v>
      </c>
      <c r="F1533" s="1">
        <f t="shared" si="948"/>
        <v>4.0901432735634851</v>
      </c>
      <c r="G1533" s="1">
        <f t="shared" si="948"/>
        <v>4.1004614438149467</v>
      </c>
      <c r="H1533" s="1">
        <f t="shared" si="948"/>
        <v>4.1141936945152793</v>
      </c>
      <c r="I1533" s="1">
        <f t="shared" si="948"/>
        <v>4.1330867990262119</v>
      </c>
      <c r="J1533" s="1">
        <f t="shared" si="948"/>
        <v>4.1956707089356682</v>
      </c>
      <c r="K1533" s="1">
        <f t="shared" si="948"/>
        <v>4.3166211875060734</v>
      </c>
    </row>
    <row r="1534" spans="2:11" x14ac:dyDescent="0.35">
      <c r="B1534" t="str">
        <f t="shared" si="947"/>
        <v>SPS3</v>
      </c>
      <c r="C1534" t="str">
        <f t="shared" si="945"/>
        <v>CH</v>
      </c>
      <c r="D1534" t="s">
        <v>1523</v>
      </c>
      <c r="E1534" t="s">
        <v>1230</v>
      </c>
      <c r="F1534" s="1">
        <f t="shared" si="948"/>
        <v>3.7650534829600395</v>
      </c>
      <c r="G1534" s="1">
        <f t="shared" si="948"/>
        <v>3.7755291014266077</v>
      </c>
      <c r="H1534" s="1">
        <f t="shared" si="948"/>
        <v>3.7907939274740237</v>
      </c>
      <c r="I1534" s="1">
        <f t="shared" si="948"/>
        <v>3.8083638759098624</v>
      </c>
      <c r="J1534" s="1">
        <f t="shared" si="948"/>
        <v>3.8523265972102498</v>
      </c>
      <c r="K1534" s="1">
        <f t="shared" si="948"/>
        <v>3.9400035122958479</v>
      </c>
    </row>
    <row r="1535" spans="2:11" x14ac:dyDescent="0.35">
      <c r="B1535" t="str">
        <f t="shared" si="947"/>
        <v>SPS3</v>
      </c>
      <c r="C1535" t="str">
        <f t="shared" si="945"/>
        <v>CH</v>
      </c>
      <c r="D1535" t="s">
        <v>1524</v>
      </c>
      <c r="E1535" t="s">
        <v>1230</v>
      </c>
      <c r="F1535" s="1" t="str">
        <f t="shared" ref="F1535:K1538" si="949">IFERROR(F1521/F1502,"-")</f>
        <v>-</v>
      </c>
      <c r="G1535" s="1" t="str">
        <f t="shared" si="949"/>
        <v>-</v>
      </c>
      <c r="H1535" s="1" t="str">
        <f t="shared" si="949"/>
        <v>-</v>
      </c>
      <c r="I1535" s="1" t="str">
        <f t="shared" si="949"/>
        <v>-</v>
      </c>
      <c r="J1535" s="1">
        <f t="shared" si="949"/>
        <v>4.7482133329006162</v>
      </c>
      <c r="K1535" s="1">
        <f t="shared" si="949"/>
        <v>4.8539376966444712</v>
      </c>
    </row>
    <row r="1536" spans="2:11" x14ac:dyDescent="0.35">
      <c r="B1536" t="str">
        <f t="shared" si="947"/>
        <v>SPS3</v>
      </c>
      <c r="C1536" t="str">
        <f t="shared" si="945"/>
        <v>CH</v>
      </c>
      <c r="D1536" t="s">
        <v>1525</v>
      </c>
      <c r="E1536" t="s">
        <v>1230</v>
      </c>
      <c r="F1536" s="1" t="str">
        <f t="shared" si="949"/>
        <v>-</v>
      </c>
      <c r="G1536" s="1" t="str">
        <f t="shared" si="949"/>
        <v>-</v>
      </c>
      <c r="H1536" s="1" t="str">
        <f t="shared" si="949"/>
        <v>-</v>
      </c>
      <c r="I1536" s="1" t="str">
        <f t="shared" si="949"/>
        <v>-</v>
      </c>
      <c r="J1536" s="1">
        <f t="shared" si="949"/>
        <v>2.7553562811109296</v>
      </c>
      <c r="K1536" s="1">
        <f t="shared" si="949"/>
        <v>2.8049754073886786</v>
      </c>
    </row>
    <row r="1537" spans="2:11" x14ac:dyDescent="0.35">
      <c r="B1537" t="str">
        <f t="shared" si="947"/>
        <v>SPS3</v>
      </c>
      <c r="C1537" t="str">
        <f t="shared" si="945"/>
        <v>CH</v>
      </c>
      <c r="D1537" t="s">
        <v>1526</v>
      </c>
      <c r="E1537" t="s">
        <v>1230</v>
      </c>
      <c r="F1537" s="1" t="str">
        <f t="shared" si="949"/>
        <v>-</v>
      </c>
      <c r="G1537" s="1" t="str">
        <f t="shared" si="949"/>
        <v>-</v>
      </c>
      <c r="H1537" s="1" t="str">
        <f t="shared" si="949"/>
        <v>-</v>
      </c>
      <c r="I1537" s="1" t="str">
        <f t="shared" si="949"/>
        <v>-</v>
      </c>
      <c r="J1537" s="1">
        <f t="shared" si="949"/>
        <v>1.7911424959415536</v>
      </c>
      <c r="K1537" s="1">
        <f t="shared" si="949"/>
        <v>1.8230561907424516</v>
      </c>
    </row>
    <row r="1538" spans="2:11" x14ac:dyDescent="0.35">
      <c r="B1538" t="str">
        <f t="shared" si="947"/>
        <v>SPS3</v>
      </c>
      <c r="C1538" t="str">
        <f t="shared" si="945"/>
        <v>CH</v>
      </c>
      <c r="D1538" t="s">
        <v>1527</v>
      </c>
      <c r="E1538" t="s">
        <v>1230</v>
      </c>
      <c r="F1538" s="1" t="str">
        <f t="shared" si="949"/>
        <v>-</v>
      </c>
      <c r="G1538" s="1" t="str">
        <f t="shared" si="949"/>
        <v>-</v>
      </c>
      <c r="H1538" s="1" t="str">
        <f t="shared" si="949"/>
        <v>-</v>
      </c>
      <c r="I1538" s="1" t="str">
        <f t="shared" si="949"/>
        <v>-</v>
      </c>
      <c r="J1538" s="1">
        <f t="shared" si="949"/>
        <v>1.5957660453257407</v>
      </c>
      <c r="K1538" s="1">
        <f t="shared" si="949"/>
        <v>1.621515217383044</v>
      </c>
    </row>
    <row r="1539" spans="2:11" x14ac:dyDescent="0.35">
      <c r="B1539" t="str">
        <f t="shared" si="947"/>
        <v>SPS3</v>
      </c>
      <c r="C1539" t="str">
        <f t="shared" si="945"/>
        <v>CH</v>
      </c>
      <c r="D1539" t="s">
        <v>1583</v>
      </c>
      <c r="E1539" t="s">
        <v>1230</v>
      </c>
      <c r="F1539" s="1">
        <f t="shared" ref="F1539:K1543" si="950">IFERROR(F1525/F1511,"-")</f>
        <v>0.77116510534577798</v>
      </c>
      <c r="G1539" s="1">
        <f t="shared" si="950"/>
        <v>0.78723832996731968</v>
      </c>
      <c r="H1539" s="1">
        <f t="shared" si="950"/>
        <v>0.81134816689963363</v>
      </c>
      <c r="I1539" s="1">
        <f t="shared" si="950"/>
        <v>0.85153122845348805</v>
      </c>
      <c r="J1539" s="1" t="str">
        <f t="shared" si="950"/>
        <v>-</v>
      </c>
      <c r="K1539" s="1" t="str">
        <f t="shared" si="950"/>
        <v>-</v>
      </c>
    </row>
    <row r="1540" spans="2:11" x14ac:dyDescent="0.35">
      <c r="B1540" t="str">
        <f t="shared" si="947"/>
        <v>SPS3</v>
      </c>
      <c r="C1540" t="str">
        <f t="shared" si="945"/>
        <v>CH</v>
      </c>
      <c r="D1540" t="s">
        <v>1584</v>
      </c>
      <c r="E1540" t="s">
        <v>1230</v>
      </c>
      <c r="F1540" s="1">
        <f t="shared" si="950"/>
        <v>1.9078836334110898</v>
      </c>
      <c r="G1540" s="1">
        <f t="shared" si="950"/>
        <v>1.9208778814484937</v>
      </c>
      <c r="H1540" s="1">
        <f t="shared" si="950"/>
        <v>1.9365963754422517</v>
      </c>
      <c r="I1540" s="1">
        <f t="shared" si="950"/>
        <v>1.9720891325540866</v>
      </c>
      <c r="J1540" s="1">
        <f t="shared" si="950"/>
        <v>2.0000470285785874</v>
      </c>
      <c r="K1540" s="1">
        <f t="shared" si="950"/>
        <v>2.0989177906511745</v>
      </c>
    </row>
    <row r="1541" spans="2:11" x14ac:dyDescent="0.35">
      <c r="B1541" t="str">
        <f t="shared" si="947"/>
        <v>SPS3</v>
      </c>
      <c r="C1541" t="str">
        <f t="shared" si="945"/>
        <v>CH</v>
      </c>
      <c r="D1541" t="s">
        <v>1585</v>
      </c>
      <c r="E1541" t="s">
        <v>1230</v>
      </c>
      <c r="F1541" s="1">
        <f t="shared" si="950"/>
        <v>1.1027629847473199</v>
      </c>
      <c r="G1541" s="1">
        <f t="shared" si="950"/>
        <v>1.1043154734433835</v>
      </c>
      <c r="H1541" s="1">
        <f t="shared" si="950"/>
        <v>1.1043964990127888</v>
      </c>
      <c r="I1541" s="1">
        <f t="shared" si="950"/>
        <v>1.1048223223105498</v>
      </c>
      <c r="J1541" s="1">
        <f t="shared" si="950"/>
        <v>1.170986254590366</v>
      </c>
      <c r="K1541" s="1">
        <f t="shared" si="950"/>
        <v>1.2080443644435317</v>
      </c>
    </row>
    <row r="1542" spans="2:11" x14ac:dyDescent="0.35">
      <c r="B1542" t="str">
        <f t="shared" si="947"/>
        <v>SPS3</v>
      </c>
      <c r="C1542" t="str">
        <f t="shared" si="945"/>
        <v>CH</v>
      </c>
      <c r="D1542" t="s">
        <v>1586</v>
      </c>
      <c r="E1542" t="s">
        <v>1230</v>
      </c>
      <c r="F1542" s="1">
        <f t="shared" si="950"/>
        <v>0.72942698043636967</v>
      </c>
      <c r="G1542" s="1">
        <f t="shared" si="950"/>
        <v>0.73017731939523922</v>
      </c>
      <c r="H1542" s="1">
        <f t="shared" si="950"/>
        <v>0.73019483866750989</v>
      </c>
      <c r="I1542" s="1">
        <f t="shared" si="950"/>
        <v>0.73022211452388519</v>
      </c>
      <c r="J1542" s="1">
        <f t="shared" si="950"/>
        <v>0.74639965135105912</v>
      </c>
      <c r="K1542" s="1">
        <f t="shared" si="950"/>
        <v>0.78779190427627077</v>
      </c>
    </row>
    <row r="1543" spans="2:11" x14ac:dyDescent="0.35">
      <c r="B1543" t="str">
        <f t="shared" si="947"/>
        <v>SPS3</v>
      </c>
      <c r="C1543" t="str">
        <f t="shared" si="945"/>
        <v>CH</v>
      </c>
      <c r="D1543" t="s">
        <v>1587</v>
      </c>
      <c r="E1543" t="s">
        <v>1230</v>
      </c>
      <c r="F1543" s="1">
        <f t="shared" si="950"/>
        <v>0.67580166525687402</v>
      </c>
      <c r="G1543" s="1">
        <f t="shared" si="950"/>
        <v>0.67641759353510988</v>
      </c>
      <c r="H1543" s="1">
        <f t="shared" si="950"/>
        <v>0.67643095943627685</v>
      </c>
      <c r="I1543" s="1">
        <f t="shared" si="950"/>
        <v>0.67645116253585891</v>
      </c>
      <c r="J1543" s="1">
        <f t="shared" si="950"/>
        <v>0.68625555647764258</v>
      </c>
      <c r="K1543" s="1">
        <f t="shared" si="950"/>
        <v>0.70484075273818392</v>
      </c>
    </row>
    <row r="1544" spans="2:11" x14ac:dyDescent="0.35">
      <c r="B1544" s="2" t="str">
        <f t="shared" si="947"/>
        <v>SPS3</v>
      </c>
      <c r="C1544" s="2" t="str">
        <f>C1543</f>
        <v>CH</v>
      </c>
      <c r="D1544" s="2" t="s">
        <v>1536</v>
      </c>
      <c r="E1544" s="2" t="s">
        <v>8</v>
      </c>
      <c r="F1544" s="3">
        <f>F1545+F1548+F1550+F1557+F1565</f>
        <v>16.712443080722554</v>
      </c>
      <c r="G1544" s="3">
        <f t="shared" ref="G1544:K1544" si="951">G1545+G1548+G1550+G1557+G1565</f>
        <v>15.646278869596665</v>
      </c>
      <c r="H1544" s="3">
        <f t="shared" si="951"/>
        <v>13.976743844090427</v>
      </c>
      <c r="I1544" s="3">
        <f t="shared" si="951"/>
        <v>11.293641075304055</v>
      </c>
      <c r="J1544" s="3">
        <f t="shared" si="951"/>
        <v>7.7415545704935891</v>
      </c>
      <c r="K1544" s="3">
        <f t="shared" si="951"/>
        <v>7.9173671405903745</v>
      </c>
    </row>
    <row r="1545" spans="2:11" x14ac:dyDescent="0.35">
      <c r="B1545" t="str">
        <f t="shared" si="947"/>
        <v>SPS3</v>
      </c>
      <c r="C1545" t="str">
        <f t="shared" ref="C1545:C1590" si="952">C1544</f>
        <v>CH</v>
      </c>
      <c r="D1545" t="s">
        <v>1537</v>
      </c>
      <c r="E1545" t="str">
        <f>E1544</f>
        <v>PJ/yr.</v>
      </c>
      <c r="F1545" s="1">
        <f>SUM(F1546:F1547)</f>
        <v>7.5315309430772609E-2</v>
      </c>
      <c r="G1545" s="1">
        <f t="shared" ref="G1545:K1545" si="953">SUM(G1546:G1547)</f>
        <v>7.6866477984851037E-2</v>
      </c>
      <c r="H1545" s="1">
        <f t="shared" si="953"/>
        <v>0.14858803181036895</v>
      </c>
      <c r="I1545" s="1">
        <f t="shared" si="953"/>
        <v>1.7047994226493686</v>
      </c>
      <c r="J1545" s="1">
        <f t="shared" si="953"/>
        <v>6.5388003582460046</v>
      </c>
      <c r="K1545" s="1">
        <f t="shared" si="953"/>
        <v>7.9169181839547376</v>
      </c>
    </row>
    <row r="1546" spans="2:11" x14ac:dyDescent="0.35">
      <c r="B1546" t="str">
        <f t="shared" si="947"/>
        <v>SPS3</v>
      </c>
      <c r="C1546" t="str">
        <f t="shared" si="952"/>
        <v>CH</v>
      </c>
      <c r="D1546" t="s">
        <v>1544</v>
      </c>
      <c r="E1546" t="str">
        <f t="shared" ref="E1546:E1570" si="954">E1545</f>
        <v>PJ/yr.</v>
      </c>
      <c r="F1546" s="1" cm="1">
        <f t="array" ref="F1546">SUMPRODUCT(("TFLGV-BeVELCExt"=[1]OUT_TransportEnergyCons!$A$3:$A$1000)*1,("Var_Fin"=[1]OUT_TransportEnergyCons!$B$3:$B$1000)*1,ISNUMBER(SEARCH("ELC",[1]OUT_TransportEnergyCons!$C$3:$C$1000))*1,[1]OUT_TransportEnergyCons!D$3:D$1000)</f>
        <v>4.0339626030339609E-2</v>
      </c>
      <c r="G1546" s="1" cm="1">
        <f t="array" ref="G1546">SUMPRODUCT(("TFLGV-BeVELCExt"=[1]OUT_TransportEnergyCons!$A$3:$A$1000)*1,("Var_Fin"=[1]OUT_TransportEnergyCons!$B$3:$B$1000)*1,ISNUMBER(SEARCH("ELC",[1]OUT_TransportEnergyCons!$C$3:$C$1000))*1,[1]OUT_TransportEnergyCons!E$3:E$1000)</f>
        <v>1.2301514845334857E-2</v>
      </c>
      <c r="H1546" s="1" cm="1">
        <f t="array" ref="H1546">SUMPRODUCT(("TFLGV-BeVELCExt"=[1]OUT_TransportEnergyCons!$A$3:$A$1000)*1,("Var_Fin"=[1]OUT_TransportEnergyCons!$B$3:$B$1000)*1,ISNUMBER(SEARCH("ELC",[1]OUT_TransportEnergyCons!$C$3:$C$1000))*1,[1]OUT_TransportEnergyCons!F$3:F$1000)</f>
        <v>2.6303909490806351E-2</v>
      </c>
      <c r="I1546" s="1" cm="1">
        <f t="array" ref="I1546">SUMPRODUCT(("TFLGV-BeVELCExt"=[1]OUT_TransportEnergyCons!$A$3:$A$1000)*1,("Var_Fin"=[1]OUT_TransportEnergyCons!$B$3:$B$1000)*1,ISNUMBER(SEARCH("ELC",[1]OUT_TransportEnergyCons!$C$3:$C$1000))*1,[1]OUT_TransportEnergyCons!G$3:G$1000)</f>
        <v>1.3144892550535907E-2</v>
      </c>
      <c r="J1546" s="1" cm="1">
        <f t="array" ref="J1546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6" s="1" cm="1">
        <f t="array" ref="K1546">SUMPRODUCT(("TFLGV-BeVELCExt"=[1]OUT_TransportEnergyCons!$A$3:$A$1000)*1,("Var_Fin"=[1]OUT_TransportEnergyCons!$B$3:$B$1000)*1,ISNUMBER(SEARCH("ELC",[1]OUT_TransportEnergyCons!$C$3:$C$1000))*1,[1]OUT_TransportEnergyCons!I$3:I$1000)</f>
        <v>0</v>
      </c>
    </row>
    <row r="1547" spans="2:11" x14ac:dyDescent="0.35">
      <c r="B1547" t="str">
        <f t="shared" si="947"/>
        <v>SPS3</v>
      </c>
      <c r="C1547" t="str">
        <f t="shared" si="952"/>
        <v>CH</v>
      </c>
      <c r="D1547" t="s">
        <v>1545</v>
      </c>
      <c r="E1547" t="str">
        <f t="shared" si="954"/>
        <v>PJ/yr.</v>
      </c>
      <c r="F1547" s="1" cm="1">
        <f t="array" ref="F1547">SUMPRODUCT(("TFLGV-BEVELC"=[1]OUT_TransportEnergyCons!$A$3:$A$1000)*1,("Var_Fin"=[1]OUT_TransportEnergyCons!$B$3:$B$1000)*1,ISNUMBER(SEARCH("ELC",[1]OUT_TransportEnergyCons!$C$3:$C$1000))*1,[1]OUT_TransportEnergyCons!D$3:D$1000)</f>
        <v>3.4975683400432993E-2</v>
      </c>
      <c r="G1547" s="1" cm="1">
        <f t="array" ref="G1547">SUMPRODUCT(("TFLGV-BEVELC"=[1]OUT_TransportEnergyCons!$A$3:$A$1000)*1,("Var_Fin"=[1]OUT_TransportEnergyCons!$B$3:$B$1000)*1,ISNUMBER(SEARCH("ELC",[1]OUT_TransportEnergyCons!$C$3:$C$1000))*1,[1]OUT_TransportEnergyCons!E$3:E$1000)</f>
        <v>6.4564963139516179E-2</v>
      </c>
      <c r="H1547" s="1" cm="1">
        <f t="array" ref="H1547">SUMPRODUCT(("TFLGV-BEVELC"=[1]OUT_TransportEnergyCons!$A$3:$A$1000)*1,("Var_Fin"=[1]OUT_TransportEnergyCons!$B$3:$B$1000)*1,ISNUMBER(SEARCH("ELC",[1]OUT_TransportEnergyCons!$C$3:$C$1000))*1,[1]OUT_TransportEnergyCons!F$3:F$1000)</f>
        <v>0.12228412231956261</v>
      </c>
      <c r="I1547" s="1" cm="1">
        <f t="array" ref="I1547">SUMPRODUCT(("TFLGV-BEVELC"=[1]OUT_TransportEnergyCons!$A$3:$A$1000)*1,("Var_Fin"=[1]OUT_TransportEnergyCons!$B$3:$B$1000)*1,ISNUMBER(SEARCH("ELC",[1]OUT_TransportEnergyCons!$C$3:$C$1000))*1,[1]OUT_TransportEnergyCons!G$3:G$1000)</f>
        <v>1.6916545300988326</v>
      </c>
      <c r="J1547" s="1" cm="1">
        <f t="array" ref="J1547">SUMPRODUCT(("TFLGV-BEVELC"=[1]OUT_TransportEnergyCons!$A$3:$A$1000)*1,("Var_Fin"=[1]OUT_TransportEnergyCons!$B$3:$B$1000)*1,ISNUMBER(SEARCH("ELC",[1]OUT_TransportEnergyCons!$C$3:$C$1000))*1,[1]OUT_TransportEnergyCons!H$3:H$1000)</f>
        <v>6.5388003582460046</v>
      </c>
      <c r="K1547" s="1" cm="1">
        <f t="array" ref="K1547">SUMPRODUCT(("TFLGV-BEVELC"=[1]OUT_TransportEnergyCons!$A$3:$A$1000)*1,("Var_Fin"=[1]OUT_TransportEnergyCons!$B$3:$B$1000)*1,ISNUMBER(SEARCH("ELC",[1]OUT_TransportEnergyCons!$C$3:$C$1000))*1,[1]OUT_TransportEnergyCons!I$3:I$1000)</f>
        <v>7.9169181839547376</v>
      </c>
    </row>
    <row r="1548" spans="2:11" x14ac:dyDescent="0.35">
      <c r="B1548" t="str">
        <f t="shared" si="947"/>
        <v>SPS3</v>
      </c>
      <c r="C1548" t="str">
        <f t="shared" si="952"/>
        <v>CH</v>
      </c>
      <c r="D1548" t="s">
        <v>1538</v>
      </c>
      <c r="E1548" t="str">
        <f t="shared" si="954"/>
        <v>PJ/yr.</v>
      </c>
      <c r="F1548" s="1">
        <f>F1549</f>
        <v>0</v>
      </c>
      <c r="G1548" s="1">
        <f t="shared" ref="G1548:K1548" si="955">G1549</f>
        <v>1.8205701723063303E-4</v>
      </c>
      <c r="H1548" s="1">
        <f t="shared" si="955"/>
        <v>2.252953230857436E-4</v>
      </c>
      <c r="I1548" s="1">
        <f t="shared" si="955"/>
        <v>0</v>
      </c>
      <c r="J1548" s="1">
        <f t="shared" si="955"/>
        <v>5.1639777220919383E-5</v>
      </c>
      <c r="K1548" s="1">
        <f t="shared" si="955"/>
        <v>5.19332844072499E-5</v>
      </c>
    </row>
    <row r="1549" spans="2:11" x14ac:dyDescent="0.35">
      <c r="B1549" t="str">
        <f t="shared" si="947"/>
        <v>SPS3</v>
      </c>
      <c r="C1549" t="str">
        <f t="shared" si="952"/>
        <v>CH</v>
      </c>
      <c r="D1549" t="s">
        <v>1546</v>
      </c>
      <c r="E1549" t="str">
        <f t="shared" si="954"/>
        <v>PJ/yr.</v>
      </c>
      <c r="F1549" s="1" cm="1">
        <f t="array" ref="F1549">SUMPRODUCT(("TFLGV-FCLH2O"=[1]OUT_TransportEnergyCons!$A$3:$A$1000)*1,("Var_Fin"=[1]OUT_TransportEnergyCons!$B$3:$B$1000)*1,ISNUMBER(SEARCH("h2",[1]OUT_TransportEnergyCons!$C$3:$C$1000))*1,[1]OUT_TransportEnergyCons!D$3:D$1000)</f>
        <v>0</v>
      </c>
      <c r="G1549" s="1" cm="1">
        <f t="array" ref="G1549">SUMPRODUCT(("TFLGV-FCLH2O"=[1]OUT_TransportEnergyCons!$A$3:$A$1000)*1,("Var_Fin"=[1]OUT_TransportEnergyCons!$B$3:$B$1000)*1,ISNUMBER(SEARCH("h2",[1]OUT_TransportEnergyCons!$C$3:$C$1000))*1,[1]OUT_TransportEnergyCons!E$3:E$1000)</f>
        <v>1.8205701723063303E-4</v>
      </c>
      <c r="H1549" s="1" cm="1">
        <f t="array" ref="H1549">SUMPRODUCT(("TFLGV-FCLH2O"=[1]OUT_TransportEnergyCons!$A$3:$A$1000)*1,("Var_Fin"=[1]OUT_TransportEnergyCons!$B$3:$B$1000)*1,ISNUMBER(SEARCH("h2",[1]OUT_TransportEnergyCons!$C$3:$C$1000))*1,[1]OUT_TransportEnergyCons!F$3:F$1000)</f>
        <v>2.252953230857436E-4</v>
      </c>
      <c r="I1549" s="1" cm="1">
        <f t="array" ref="I1549">SUMPRODUCT(("TFLGV-FCLH2O"=[1]OUT_TransportEnergyCons!$A$3:$A$1000)*1,("Var_Fin"=[1]OUT_TransportEnergyCons!$B$3:$B$1000)*1,ISNUMBER(SEARCH("h2",[1]OUT_TransportEnergyCons!$C$3:$C$1000))*1,[1]OUT_TransportEnergyCons!G$3:G$1000)</f>
        <v>0</v>
      </c>
      <c r="J1549" s="1" cm="1">
        <f t="array" ref="J1549">SUMPRODUCT(("TFLGV-FCLH2O"=[1]OUT_TransportEnergyCons!$A$3:$A$1000)*1,("Var_Fin"=[1]OUT_TransportEnergyCons!$B$3:$B$1000)*1,ISNUMBER(SEARCH("h2",[1]OUT_TransportEnergyCons!$C$3:$C$1000))*1,[1]OUT_TransportEnergyCons!H$3:H$1000)</f>
        <v>5.1639777220919383E-5</v>
      </c>
      <c r="K1549" s="1" cm="1">
        <f t="array" ref="K1549">SUMPRODUCT(("TFLGV-FCLH2O"=[1]OUT_TransportEnergyCons!$A$3:$A$1000)*1,("Var_Fin"=[1]OUT_TransportEnergyCons!$B$3:$B$1000)*1,ISNUMBER(SEARCH("h2",[1]OUT_TransportEnergyCons!$C$3:$C$1000))*1,[1]OUT_TransportEnergyCons!I$3:I$1000)</f>
        <v>5.19332844072499E-5</v>
      </c>
    </row>
    <row r="1550" spans="2:11" x14ac:dyDescent="0.35">
      <c r="B1550" t="str">
        <f t="shared" si="947"/>
        <v>SPS3</v>
      </c>
      <c r="C1550" t="str">
        <f t="shared" si="952"/>
        <v>CH</v>
      </c>
      <c r="D1550" t="s">
        <v>1539</v>
      </c>
      <c r="E1550" t="str">
        <f t="shared" si="954"/>
        <v>PJ/yr.</v>
      </c>
      <c r="F1550" s="1">
        <f>SUM(F1555:F1556)</f>
        <v>1.1909133734897033</v>
      </c>
      <c r="G1550" s="1">
        <f t="shared" ref="G1550:K1550" si="956">SUM(G1555:G1556)</f>
        <v>2.4376751281900906</v>
      </c>
      <c r="H1550" s="1">
        <f t="shared" si="956"/>
        <v>1.4489576553873875</v>
      </c>
      <c r="I1550" s="1">
        <f t="shared" si="956"/>
        <v>1.6348067458639213</v>
      </c>
      <c r="J1550" s="1">
        <f t="shared" si="956"/>
        <v>0.13971820144664882</v>
      </c>
      <c r="K1550" s="1">
        <f t="shared" si="956"/>
        <v>8.1818684227687511E-5</v>
      </c>
    </row>
    <row r="1551" spans="2:11" x14ac:dyDescent="0.35">
      <c r="B1551" t="str">
        <f t="shared" si="947"/>
        <v>SPS3</v>
      </c>
      <c r="C1551" t="str">
        <f t="shared" si="952"/>
        <v>CH</v>
      </c>
      <c r="D1551" t="s">
        <v>1540</v>
      </c>
      <c r="E1551" t="str">
        <f t="shared" si="954"/>
        <v>PJ/yr.</v>
      </c>
      <c r="F1551" s="1">
        <f>F1550-F1552</f>
        <v>1.1257218577671853</v>
      </c>
      <c r="G1551" s="1">
        <f t="shared" ref="G1551:K1551" si="957">G1550-G1552</f>
        <v>2.3042364304742593</v>
      </c>
      <c r="H1551" s="1">
        <f t="shared" si="957"/>
        <v>1.3693998035834467</v>
      </c>
      <c r="I1551" s="1">
        <f t="shared" si="957"/>
        <v>1.523051728305838</v>
      </c>
      <c r="J1551" s="1">
        <f t="shared" si="957"/>
        <v>5.7944411185354386E-2</v>
      </c>
      <c r="K1551" s="1">
        <f t="shared" si="957"/>
        <v>-1.1559170574859375E-6</v>
      </c>
    </row>
    <row r="1552" spans="2:11" x14ac:dyDescent="0.35">
      <c r="B1552" t="str">
        <f t="shared" si="947"/>
        <v>SPS3</v>
      </c>
      <c r="C1552" t="str">
        <f t="shared" si="952"/>
        <v>CH</v>
      </c>
      <c r="D1552" t="s">
        <v>1541</v>
      </c>
      <c r="E1552" t="str">
        <f t="shared" si="954"/>
        <v>PJ/yr.</v>
      </c>
      <c r="F1552" s="1">
        <f>SUM(F1553:F1554)</f>
        <v>6.5191515722518092E-2</v>
      </c>
      <c r="G1552" s="1">
        <f t="shared" ref="G1552:K1552" si="958">SUM(G1553:G1554)</f>
        <v>0.13343869771583131</v>
      </c>
      <c r="H1552" s="1">
        <f t="shared" si="958"/>
        <v>7.9557851803940899E-2</v>
      </c>
      <c r="I1552" s="1">
        <f t="shared" si="958"/>
        <v>0.11175501755808326</v>
      </c>
      <c r="J1552" s="1">
        <f t="shared" si="958"/>
        <v>8.177379026129443E-2</v>
      </c>
      <c r="K1552" s="1">
        <f t="shared" si="958"/>
        <v>8.2974601285173448E-5</v>
      </c>
    </row>
    <row r="1553" spans="2:11" x14ac:dyDescent="0.35">
      <c r="B1553" t="str">
        <f t="shared" si="947"/>
        <v>SPS3</v>
      </c>
      <c r="C1553" t="str">
        <f t="shared" si="952"/>
        <v>CH</v>
      </c>
      <c r="D1553" t="s">
        <v>1542</v>
      </c>
      <c r="E1553" t="str">
        <f t="shared" si="954"/>
        <v>PJ/yr.</v>
      </c>
      <c r="F1553" s="1">
        <f>[1]Transport!B$25/SUM([1]Transport!B$21,[1]Transport!B$25)*F1550*(F$34+F$598)/(F$34+F$598+F$37)</f>
        <v>6.5191515722518092E-2</v>
      </c>
      <c r="G1553" s="1">
        <f>[1]Transport!C$25/SUM([1]Transport!C$21,[1]Transport!C$25)*G1550*(G$34+G$598)/(G$34+G$598+G$37)</f>
        <v>0.13343869771583131</v>
      </c>
      <c r="H1553" s="1">
        <f>[1]Transport!D$25/SUM([1]Transport!D$21,[1]Transport!D$25)*H1550*(H$34+H$598)/(H$34+H$598+H$37)</f>
        <v>7.9557851803940899E-2</v>
      </c>
      <c r="I1553" s="1">
        <f>[1]Transport!E$25/SUM([1]Transport!E$21,[1]Transport!E$25)*I1550*(I$34+I$598)/(I$34+I$598+I$37)</f>
        <v>0.11175501755808326</v>
      </c>
      <c r="J1553" s="1">
        <f>[1]Transport!F$25/SUM([1]Transport!F$21,[1]Transport!F$25)*J1550*(J$34+J$598)/(J$34+J$598+J$37)</f>
        <v>4.6263680487202086E-2</v>
      </c>
      <c r="K1553" s="1">
        <f>[1]Transport!G$25/SUM([1]Transport!G$21,[1]Transport!G$25)*K1550*(K$34+K$598)/(K$34+K$598+K$37)</f>
        <v>4.4979022706245645E-6</v>
      </c>
    </row>
    <row r="1554" spans="2:11" x14ac:dyDescent="0.35">
      <c r="B1554" t="str">
        <f t="shared" si="947"/>
        <v>SPS3</v>
      </c>
      <c r="C1554" t="str">
        <f t="shared" si="952"/>
        <v>CH</v>
      </c>
      <c r="D1554" t="s">
        <v>1543</v>
      </c>
      <c r="E1554" t="str">
        <f t="shared" si="954"/>
        <v>PJ/yr.</v>
      </c>
      <c r="F1554" s="1">
        <f>(F$37+F$717)/([1]Transport!B$21+[1]Transport!B$25)*F1550</f>
        <v>0</v>
      </c>
      <c r="G1554" s="1">
        <f>(G$37+G$717)/([1]Transport!C$21+[1]Transport!C$25)*G1550</f>
        <v>0</v>
      </c>
      <c r="H1554" s="1">
        <f>(H$37+H$717)/([1]Transport!D$21+[1]Transport!D$25)*H1550</f>
        <v>0</v>
      </c>
      <c r="I1554" s="1">
        <f>(I$37+I$717)/([1]Transport!E$21+[1]Transport!E$25)*I1550</f>
        <v>0</v>
      </c>
      <c r="J1554" s="1">
        <f>(J$37+J$717)/([1]Transport!F$21+[1]Transport!F$25)*J1550</f>
        <v>3.5510109774092344E-2</v>
      </c>
      <c r="K1554" s="1">
        <f>(K$37+K$717)/([1]Transport!G$21+[1]Transport!G$25)*K1550</f>
        <v>7.8476699014548879E-5</v>
      </c>
    </row>
    <row r="1555" spans="2:11" x14ac:dyDescent="0.35">
      <c r="B1555" t="str">
        <f t="shared" si="947"/>
        <v>SPS3</v>
      </c>
      <c r="C1555" t="str">
        <f t="shared" si="952"/>
        <v>CH</v>
      </c>
      <c r="D1555" t="s">
        <v>1589</v>
      </c>
      <c r="E1555" t="str">
        <f t="shared" si="954"/>
        <v>PJ/yr.</v>
      </c>
      <c r="F1555" s="1" cm="1">
        <f t="array" ref="F1555">SUMPRODUCT(("TFLGV-ICEGSLExt"=[1]OUT_TransportEnergyCons!$A$3:$A$1000)*1,("Var_Fin"=[1]OUT_TransportEnergyCons!$B$3:$B$1000)*1,ISNUMBER(SEARCH("gsl",[1]OUT_TransportEnergyCons!$C$3:$C$1000))*1,[1]OUT_TransportEnergyCons!D$3:D$1000)</f>
        <v>0.83220020202649503</v>
      </c>
      <c r="G1555" s="1" cm="1">
        <f t="array" ref="G1555">SUMPRODUCT(("TFLGV-ICEGSLExt"=[1]OUT_TransportEnergyCons!$A$3:$A$1000)*1,("Var_Fin"=[1]OUT_TransportEnergyCons!$B$3:$B$1000)*1,ISNUMBER(SEARCH("gsl",[1]OUT_TransportEnergyCons!$C$3:$C$1000))*1,[1]OUT_TransportEnergyCons!E$3:E$1000)</f>
        <v>1.8567569791847707</v>
      </c>
      <c r="H1555" s="1" cm="1">
        <f t="array" ref="H1555">SUMPRODUCT(("TFLGV-ICEGSLExt"=[1]OUT_TransportEnergyCons!$A$3:$A$1000)*1,("Var_Fin"=[1]OUT_TransportEnergyCons!$B$3:$B$1000)*1,ISNUMBER(SEARCH("gsl",[1]OUT_TransportEnergyCons!$C$3:$C$1000))*1,[1]OUT_TransportEnergyCons!F$3:F$1000)</f>
        <v>0.54471710319100219</v>
      </c>
      <c r="I1555" s="1" cm="1">
        <f t="array" ref="I1555">SUMPRODUCT(("TFLGV-ICEGSLExt"=[1]OUT_TransportEnergyCons!$A$3:$A$1000)*1,("Var_Fin"=[1]OUT_TransportEnergyCons!$B$3:$B$1000)*1,ISNUMBER(SEARCH("gsl",[1]OUT_TransportEnergyCons!$C$3:$C$1000))*1,[1]OUT_TransportEnergyCons!G$3:G$1000)</f>
        <v>0.27129014338287222</v>
      </c>
      <c r="J1555" s="1" cm="1">
        <f t="array" ref="J1555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5" s="1" cm="1">
        <f t="array" ref="K1555">SUMPRODUCT(("TFLGV-ICEGSLExt"=[1]OUT_TransportEnergyCons!$A$3:$A$1000)*1,("Var_Fin"=[1]OUT_TransportEnergyCons!$B$3:$B$1000)*1,ISNUMBER(SEARCH("gsl",[1]OUT_TransportEnergyCons!$C$3:$C$1000))*1,[1]OUT_TransportEnergyCons!I$3:I$1000)</f>
        <v>0</v>
      </c>
    </row>
    <row r="1556" spans="2:11" x14ac:dyDescent="0.35">
      <c r="B1556" t="str">
        <f t="shared" si="947"/>
        <v>SPS3</v>
      </c>
      <c r="C1556" t="str">
        <f t="shared" si="952"/>
        <v>CH</v>
      </c>
      <c r="D1556" t="s">
        <v>1588</v>
      </c>
      <c r="E1556" t="str">
        <f t="shared" si="954"/>
        <v>PJ/yr.</v>
      </c>
      <c r="F1556" s="1" cm="1">
        <f t="array" ref="F1556">SUMPRODUCT(("TFLGV-ICEGSL"=[1]OUT_TransportEnergyCons!$A$3:$A$1000)*1,("Var_Fin"=[1]OUT_TransportEnergyCons!$B$3:$B$1000)*1,ISNUMBER(SEARCH("gsl",[1]OUT_TransportEnergyCons!$C$3:$C$1000))*1,[1]OUT_TransportEnergyCons!D$3:D$1000)</f>
        <v>0.35871317146320836</v>
      </c>
      <c r="G1556" s="1" cm="1">
        <f t="array" ref="G1556">SUMPRODUCT(("TFLGV-ICEGSL"=[1]OUT_TransportEnergyCons!$A$3:$A$1000)*1,("Var_Fin"=[1]OUT_TransportEnergyCons!$B$3:$B$1000)*1,ISNUMBER(SEARCH("gsl",[1]OUT_TransportEnergyCons!$C$3:$C$1000))*1,[1]OUT_TransportEnergyCons!E$3:E$1000)</f>
        <v>0.58091814900532002</v>
      </c>
      <c r="H1556" s="1" cm="1">
        <f t="array" ref="H1556">SUMPRODUCT(("TFLGV-ICEGSL"=[1]OUT_TransportEnergyCons!$A$3:$A$1000)*1,("Var_Fin"=[1]OUT_TransportEnergyCons!$B$3:$B$1000)*1,ISNUMBER(SEARCH("gsl",[1]OUT_TransportEnergyCons!$C$3:$C$1000))*1,[1]OUT_TransportEnergyCons!F$3:F$1000)</f>
        <v>0.90424055219638533</v>
      </c>
      <c r="I1556" s="1" cm="1">
        <f t="array" ref="I1556">SUMPRODUCT(("TFLGV-ICEGSL"=[1]OUT_TransportEnergyCons!$A$3:$A$1000)*1,("Var_Fin"=[1]OUT_TransportEnergyCons!$B$3:$B$1000)*1,ISNUMBER(SEARCH("gsl",[1]OUT_TransportEnergyCons!$C$3:$C$1000))*1,[1]OUT_TransportEnergyCons!G$3:G$1000)</f>
        <v>1.363516602481049</v>
      </c>
      <c r="J1556" s="1" cm="1">
        <f t="array" ref="J1556">SUMPRODUCT(("TFLGV-ICEGSL"=[1]OUT_TransportEnergyCons!$A$3:$A$1000)*1,("Var_Fin"=[1]OUT_TransportEnergyCons!$B$3:$B$1000)*1,ISNUMBER(SEARCH("gsl",[1]OUT_TransportEnergyCons!$C$3:$C$1000))*1,[1]OUT_TransportEnergyCons!H$3:H$1000)</f>
        <v>0.13971820144664882</v>
      </c>
      <c r="K1556" s="1" cm="1">
        <f t="array" ref="K1556">SUMPRODUCT(("TFLGV-ICEGSL"=[1]OUT_TransportEnergyCons!$A$3:$A$1000)*1,("Var_Fin"=[1]OUT_TransportEnergyCons!$B$3:$B$1000)*1,ISNUMBER(SEARCH("gsl",[1]OUT_TransportEnergyCons!$C$3:$C$1000))*1,[1]OUT_TransportEnergyCons!I$3:I$1000)</f>
        <v>8.1818684227687511E-5</v>
      </c>
    </row>
    <row r="1557" spans="2:11" x14ac:dyDescent="0.35">
      <c r="B1557" t="str">
        <f t="shared" si="947"/>
        <v>SPS3</v>
      </c>
      <c r="C1557" t="str">
        <f t="shared" si="952"/>
        <v>CH</v>
      </c>
      <c r="D1557" t="s">
        <v>1547</v>
      </c>
      <c r="E1557" t="str">
        <f t="shared" si="954"/>
        <v>PJ/yr.</v>
      </c>
      <c r="F1557" s="1">
        <f>SUM(F1562:F1564)</f>
        <v>15.437861379676811</v>
      </c>
      <c r="G1557" s="1">
        <f t="shared" ref="G1557:K1557" si="959">SUM(G1562:G1564)</f>
        <v>13.130581095819119</v>
      </c>
      <c r="H1557" s="1">
        <f t="shared" si="959"/>
        <v>12.377612919554238</v>
      </c>
      <c r="I1557" s="1">
        <f t="shared" si="959"/>
        <v>7.9533865397647041</v>
      </c>
      <c r="J1557" s="1">
        <f t="shared" si="959"/>
        <v>1.0624395089855085</v>
      </c>
      <c r="K1557" s="1">
        <f t="shared" si="959"/>
        <v>1.8978894805421083E-4</v>
      </c>
    </row>
    <row r="1558" spans="2:11" x14ac:dyDescent="0.35">
      <c r="B1558" t="str">
        <f t="shared" si="947"/>
        <v>SPS3</v>
      </c>
      <c r="C1558" t="str">
        <f t="shared" si="952"/>
        <v>CH</v>
      </c>
      <c r="D1558" t="s">
        <v>1548</v>
      </c>
      <c r="E1558" t="str">
        <f t="shared" si="954"/>
        <v>PJ/yr.</v>
      </c>
      <c r="F1558" s="1">
        <f>F1557-F1559</f>
        <v>15.060123372622579</v>
      </c>
      <c r="G1558" s="1">
        <f t="shared" ref="G1558:K1558" si="960">G1557-G1559</f>
        <v>12.788389463416671</v>
      </c>
      <c r="H1558" s="1">
        <f t="shared" si="960"/>
        <v>11.885365779640599</v>
      </c>
      <c r="I1558" s="1">
        <f t="shared" si="960"/>
        <v>7.6968975370063095</v>
      </c>
      <c r="J1558" s="1">
        <f t="shared" si="960"/>
        <v>0.28148839820318505</v>
      </c>
      <c r="K1558" s="1">
        <f t="shared" si="960"/>
        <v>-2.6493201596107085E-4</v>
      </c>
    </row>
    <row r="1559" spans="2:11" x14ac:dyDescent="0.35">
      <c r="B1559" t="str">
        <f t="shared" si="947"/>
        <v>SPS3</v>
      </c>
      <c r="C1559" t="str">
        <f t="shared" si="952"/>
        <v>CH</v>
      </c>
      <c r="D1559" t="s">
        <v>1549</v>
      </c>
      <c r="E1559" t="str">
        <f t="shared" si="954"/>
        <v>PJ/yr.</v>
      </c>
      <c r="F1559" s="1">
        <f>SUM(F1560:F1561)</f>
        <v>0.37773800705423199</v>
      </c>
      <c r="G1559" s="1">
        <f t="shared" ref="G1559:K1559" si="961">SUM(G1560:G1561)</f>
        <v>0.34219163240244826</v>
      </c>
      <c r="H1559" s="1">
        <f t="shared" si="961"/>
        <v>0.49224713991363911</v>
      </c>
      <c r="I1559" s="1">
        <f t="shared" si="961"/>
        <v>0.25648900275839476</v>
      </c>
      <c r="J1559" s="1">
        <f t="shared" si="961"/>
        <v>0.78095111078232349</v>
      </c>
      <c r="K1559" s="1">
        <f t="shared" si="961"/>
        <v>4.547209640152817E-4</v>
      </c>
    </row>
    <row r="1560" spans="2:11" x14ac:dyDescent="0.35">
      <c r="B1560" t="str">
        <f t="shared" si="947"/>
        <v>SPS3</v>
      </c>
      <c r="C1560" t="str">
        <f t="shared" si="952"/>
        <v>CH</v>
      </c>
      <c r="D1560" t="s">
        <v>1550</v>
      </c>
      <c r="E1560" t="str">
        <f t="shared" si="954"/>
        <v>PJ/yr.</v>
      </c>
      <c r="F1560" s="1">
        <f>[1]Transport!B$26/SUM([1]Transport!B$22,[1]Transport!B$26)*F1557*(F$33+F$580)/(F$33+F$580+F$36)</f>
        <v>0.37773800705423199</v>
      </c>
      <c r="G1560" s="1">
        <f>[1]Transport!C$26/SUM([1]Transport!C$22,[1]Transport!C$26)*G1557*(G$33+G$580)/(G$33+G$580+G$36)</f>
        <v>0.34219163240244826</v>
      </c>
      <c r="H1560" s="1">
        <f>[1]Transport!D$26/SUM([1]Transport!D$22,[1]Transport!D$26)*H1557*(H$33+H$580)/(H$33+H$580+H$36)</f>
        <v>0.49224713991363911</v>
      </c>
      <c r="I1560" s="1">
        <f>[1]Transport!E$26/SUM([1]Transport!E$22,[1]Transport!E$26)*I1557*(I$33+I$580)/(I$33+I$580+I$36)</f>
        <v>0.25648900275839476</v>
      </c>
      <c r="J1560" s="1">
        <f>[1]Transport!F$26/SUM([1]Transport!F$22,[1]Transport!F$26)*J1557*(J$33+J$580)/(J$33+J$580+J$36)</f>
        <v>1.2883953674060354E-2</v>
      </c>
      <c r="K1560" s="1">
        <f>[1]Transport!G$26/SUM([1]Transport!G$22,[1]Transport!G$26)*K1557*(K$33+K$580)/(K$33+K$580+K$36)</f>
        <v>7.1690869658244384E-5</v>
      </c>
    </row>
    <row r="1561" spans="2:11" x14ac:dyDescent="0.35">
      <c r="B1561" t="str">
        <f t="shared" si="947"/>
        <v>SPS3</v>
      </c>
      <c r="C1561" t="str">
        <f t="shared" si="952"/>
        <v>CH</v>
      </c>
      <c r="D1561" t="s">
        <v>1551</v>
      </c>
      <c r="E1561" t="str">
        <f t="shared" si="954"/>
        <v>PJ/yr.</v>
      </c>
      <c r="F1561" s="1">
        <f>(F$36+F$716)/([1]Transport!B$22+[1]Transport!B$26)*F1557</f>
        <v>0</v>
      </c>
      <c r="G1561" s="1">
        <f>(G$36+G$716)/([1]Transport!C$22+[1]Transport!C$26)*G1557</f>
        <v>0</v>
      </c>
      <c r="H1561" s="1">
        <f>(H$36+H$716)/([1]Transport!D$22+[1]Transport!D$26)*H1557</f>
        <v>0</v>
      </c>
      <c r="I1561" s="1">
        <f>(I$36+I$716)/([1]Transport!E$22+[1]Transport!E$26)*I1557</f>
        <v>0</v>
      </c>
      <c r="J1561" s="1">
        <f>(J$36+J$716)/([1]Transport!F$22+[1]Transport!F$26)*J1557</f>
        <v>0.76806715710826312</v>
      </c>
      <c r="K1561" s="1">
        <f>(K$36+K$716)/([1]Transport!G$22+[1]Transport!G$26)*K1557</f>
        <v>3.8303009435703734E-4</v>
      </c>
    </row>
    <row r="1562" spans="2:11" x14ac:dyDescent="0.35">
      <c r="B1562" t="str">
        <f t="shared" si="947"/>
        <v>SPS3</v>
      </c>
      <c r="C1562" t="str">
        <f t="shared" si="952"/>
        <v>CH</v>
      </c>
      <c r="D1562" t="s">
        <v>1552</v>
      </c>
      <c r="E1562" t="str">
        <f t="shared" si="954"/>
        <v>PJ/yr.</v>
      </c>
      <c r="F1562" s="1" cm="1">
        <f t="array" ref="F1562">SUMPRODUCT(("TFLGV-ICEdslExt"=[1]OUT_TransportEnergyCons!$A$3:$A$1000)*1,("Var_Fin"=[1]OUT_TransportEnergyCons!$B$3:$B$1000)*1,ISNUMBER(SEARCH("dsl",[1]OUT_TransportEnergyCons!$C$3:$C$1000))*1,[1]OUT_TransportEnergyCons!D$3:D$1000)</f>
        <v>10.99978207815067</v>
      </c>
      <c r="G1562" s="1" cm="1">
        <f t="array" ref="G1562">SUMPRODUCT(("TFLGV-ICEdslExt"=[1]OUT_TransportEnergyCons!$A$3:$A$1000)*1,("Var_Fin"=[1]OUT_TransportEnergyCons!$B$3:$B$1000)*1,ISNUMBER(SEARCH("dsl",[1]OUT_TransportEnergyCons!$C$3:$C$1000))*1,[1]OUT_TransportEnergyCons!E$3:E$1000)</f>
        <v>7.4397291048894933</v>
      </c>
      <c r="H1562" s="1" cm="1">
        <f t="array" ref="H1562">SUMPRODUCT(("TFLGV-ICEdslExt"=[1]OUT_TransportEnergyCons!$A$3:$A$1000)*1,("Var_Fin"=[1]OUT_TransportEnergyCons!$B$3:$B$1000)*1,ISNUMBER(SEARCH("dsl",[1]OUT_TransportEnergyCons!$C$3:$C$1000))*1,[1]OUT_TransportEnergyCons!F$3:F$1000)</f>
        <v>5.4537114729329499</v>
      </c>
      <c r="I1562" s="1" cm="1">
        <f t="array" ref="I1562">SUMPRODUCT(("TFLGV-ICEdslExt"=[1]OUT_TransportEnergyCons!$A$3:$A$1000)*1,("Var_Fin"=[1]OUT_TransportEnergyCons!$B$3:$B$1000)*1,ISNUMBER(SEARCH("dsl",[1]OUT_TransportEnergyCons!$C$3:$C$1000))*1,[1]OUT_TransportEnergyCons!G$3:G$1000)</f>
        <v>2.7257485069641172</v>
      </c>
      <c r="J1562" s="1" cm="1">
        <f t="array" ref="J1562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2" s="1" cm="1">
        <f t="array" ref="K1562">SUMPRODUCT(("TFLGV-ICEdslExt"=[1]OUT_TransportEnergyCons!$A$3:$A$1000)*1,("Var_Fin"=[1]OUT_TransportEnergyCons!$B$3:$B$1000)*1,ISNUMBER(SEARCH("dsl",[1]OUT_TransportEnergyCons!$C$3:$C$1000))*1,[1]OUT_TransportEnergyCons!I$3:I$1000)</f>
        <v>0</v>
      </c>
    </row>
    <row r="1563" spans="2:11" x14ac:dyDescent="0.35">
      <c r="B1563" t="str">
        <f t="shared" si="947"/>
        <v>SPS3</v>
      </c>
      <c r="C1563" t="str">
        <f t="shared" si="952"/>
        <v>CH</v>
      </c>
      <c r="D1563" t="s">
        <v>1553</v>
      </c>
      <c r="E1563" t="str">
        <f t="shared" si="954"/>
        <v>PJ/yr.</v>
      </c>
      <c r="F1563" s="1" cm="1">
        <f t="array" ref="F1563">SUMPRODUCT(("TFLGV-ICEdsl"=[1]OUT_TransportEnergyCons!$A$3:$A$1000)*1,("Var_Fin"=[1]OUT_TransportEnergyCons!$B$3:$B$1000)*1,ISNUMBER(SEARCH("dsl",[1]OUT_TransportEnergyCons!$C$3:$C$1000))*1,[1]OUT_TransportEnergyCons!D$3:D$1000)</f>
        <v>4.4380793015261402</v>
      </c>
      <c r="G1563" s="1" cm="1">
        <f t="array" ref="G1563">SUMPRODUCT(("TFLGV-ICEdsl"=[1]OUT_TransportEnergyCons!$A$3:$A$1000)*1,("Var_Fin"=[1]OUT_TransportEnergyCons!$B$3:$B$1000)*1,ISNUMBER(SEARCH("dsl",[1]OUT_TransportEnergyCons!$C$3:$C$1000))*1,[1]OUT_TransportEnergyCons!E$3:E$1000)</f>
        <v>5.2471000438664595</v>
      </c>
      <c r="H1563" s="1" cm="1">
        <f t="array" ref="H1563">SUMPRODUCT(("TFLGV-ICEdsl"=[1]OUT_TransportEnergyCons!$A$3:$A$1000)*1,("Var_Fin"=[1]OUT_TransportEnergyCons!$B$3:$B$1000)*1,ISNUMBER(SEARCH("dsl",[1]OUT_TransportEnergyCons!$C$3:$C$1000))*1,[1]OUT_TransportEnergyCons!F$3:F$1000)</f>
        <v>4.9988390692634299</v>
      </c>
      <c r="I1563" s="1" cm="1">
        <f t="array" ref="I1563">SUMPRODUCT(("TFLGV-ICEdsl"=[1]OUT_TransportEnergyCons!$A$3:$A$1000)*1,("Var_Fin"=[1]OUT_TransportEnergyCons!$B$3:$B$1000)*1,ISNUMBER(SEARCH("dsl",[1]OUT_TransportEnergyCons!$C$3:$C$1000))*1,[1]OUT_TransportEnergyCons!G$3:G$1000)</f>
        <v>2.1113347415014934</v>
      </c>
      <c r="J1563" s="1" cm="1">
        <f t="array" ref="J1563">SUMPRODUCT(("TFLGV-ICEdsl"=[1]OUT_TransportEnergyCons!$A$3:$A$1000)*1,("Var_Fin"=[1]OUT_TransportEnergyCons!$B$3:$B$1000)*1,ISNUMBER(SEARCH("dsl",[1]OUT_TransportEnergyCons!$C$3:$C$1000))*1,[1]OUT_TransportEnergyCons!H$3:H$1000)</f>
        <v>1.1510408536434069E-3</v>
      </c>
      <c r="K1563" s="1" cm="1">
        <f t="array" ref="K1563">SUMPRODUCT(("TFLGV-ICEdsl"=[1]OUT_TransportEnergyCons!$A$3:$A$1000)*1,("Var_Fin"=[1]OUT_TransportEnergyCons!$B$3:$B$1000)*1,ISNUMBER(SEARCH("dsl",[1]OUT_TransportEnergyCons!$C$3:$C$1000))*1,[1]OUT_TransportEnergyCons!I$3:I$1000)</f>
        <v>5.5208397573243015E-5</v>
      </c>
    </row>
    <row r="1564" spans="2:11" x14ac:dyDescent="0.35">
      <c r="B1564" t="str">
        <f t="shared" si="947"/>
        <v>SPS3</v>
      </c>
      <c r="C1564" t="str">
        <f t="shared" si="952"/>
        <v>CH</v>
      </c>
      <c r="D1564" t="s">
        <v>1554</v>
      </c>
      <c r="E1564" t="str">
        <f t="shared" si="954"/>
        <v>PJ/yr.</v>
      </c>
      <c r="F1564" s="1" cm="1">
        <f t="array" ref="F1564">SUMPRODUCT(("TFLGV-HYBDSL"=[1]OUT_TransportEnergyCons!$A$3:$A$1000)*1,("Var_Fin"=[1]OUT_TransportEnergyCons!$B$3:$B$1000)*1,ISNUMBER(SEARCH("dsl",[1]OUT_TransportEnergyCons!$C$3:$C$1000))*1,[1]OUT_TransportEnergyCons!D$3:D$1000)</f>
        <v>0</v>
      </c>
      <c r="G1564" s="1" cm="1">
        <f t="array" ref="G1564">SUMPRODUCT(("TFLGV-HYBDSL"=[1]OUT_TransportEnergyCons!$A$3:$A$1000)*1,("Var_Fin"=[1]OUT_TransportEnergyCons!$B$3:$B$1000)*1,ISNUMBER(SEARCH("dsl",[1]OUT_TransportEnergyCons!$C$3:$C$1000))*1,[1]OUT_TransportEnergyCons!E$3:E$1000)</f>
        <v>0.44375194706316629</v>
      </c>
      <c r="H1564" s="1" cm="1">
        <f t="array" ref="H1564">SUMPRODUCT(("TFLGV-HYBDSL"=[1]OUT_TransportEnergyCons!$A$3:$A$1000)*1,("Var_Fin"=[1]OUT_TransportEnergyCons!$B$3:$B$1000)*1,ISNUMBER(SEARCH("dsl",[1]OUT_TransportEnergyCons!$C$3:$C$1000))*1,[1]OUT_TransportEnergyCons!F$3:F$1000)</f>
        <v>1.9250623773578575</v>
      </c>
      <c r="I1564" s="1" cm="1">
        <f t="array" ref="I1564">SUMPRODUCT(("TFLGV-HYBDSL"=[1]OUT_TransportEnergyCons!$A$3:$A$1000)*1,("Var_Fin"=[1]OUT_TransportEnergyCons!$B$3:$B$1000)*1,ISNUMBER(SEARCH("dsl",[1]OUT_TransportEnergyCons!$C$3:$C$1000))*1,[1]OUT_TransportEnergyCons!G$3:G$1000)</f>
        <v>3.116303291299094</v>
      </c>
      <c r="J1564" s="1" cm="1">
        <f t="array" ref="J1564">SUMPRODUCT(("TFLGV-HYBDSL"=[1]OUT_TransportEnergyCons!$A$3:$A$1000)*1,("Var_Fin"=[1]OUT_TransportEnergyCons!$B$3:$B$1000)*1,ISNUMBER(SEARCH("dsl",[1]OUT_TransportEnergyCons!$C$3:$C$1000))*1,[1]OUT_TransportEnergyCons!H$3:H$1000)</f>
        <v>1.0612884681318651</v>
      </c>
      <c r="K1564" s="1" cm="1">
        <f t="array" ref="K1564">SUMPRODUCT(("TFLGV-HYBDSL"=[1]OUT_TransportEnergyCons!$A$3:$A$1000)*1,("Var_Fin"=[1]OUT_TransportEnergyCons!$B$3:$B$1000)*1,ISNUMBER(SEARCH("dsl",[1]OUT_TransportEnergyCons!$C$3:$C$1000))*1,[1]OUT_TransportEnergyCons!I$3:I$1000)</f>
        <v>1.345805504809678E-4</v>
      </c>
    </row>
    <row r="1565" spans="2:11" x14ac:dyDescent="0.35">
      <c r="B1565" t="str">
        <f t="shared" si="947"/>
        <v>SPS3</v>
      </c>
      <c r="C1565" t="str">
        <f t="shared" si="952"/>
        <v>CH</v>
      </c>
      <c r="D1565" t="s">
        <v>1555</v>
      </c>
      <c r="E1565" t="str">
        <f t="shared" si="954"/>
        <v>PJ/yr.</v>
      </c>
      <c r="F1565" s="1">
        <f>F1570</f>
        <v>8.3530181252651648E-3</v>
      </c>
      <c r="G1565" s="1">
        <f t="shared" ref="G1565:K1565" si="962">G1570</f>
        <v>9.7411058537248132E-4</v>
      </c>
      <c r="H1565" s="1">
        <f t="shared" si="962"/>
        <v>1.3599420153472775E-3</v>
      </c>
      <c r="I1565" s="1">
        <f t="shared" si="962"/>
        <v>6.4836702606058019E-4</v>
      </c>
      <c r="J1565" s="1">
        <f t="shared" si="962"/>
        <v>5.4486203820708139E-4</v>
      </c>
      <c r="K1565" s="1">
        <f t="shared" si="962"/>
        <v>1.25415718948127E-4</v>
      </c>
    </row>
    <row r="1566" spans="2:11" x14ac:dyDescent="0.35">
      <c r="B1566" t="str">
        <f t="shared" si="947"/>
        <v>SPS3</v>
      </c>
      <c r="C1566" t="str">
        <f t="shared" si="952"/>
        <v>CH</v>
      </c>
      <c r="D1566" t="s">
        <v>1556</v>
      </c>
      <c r="E1566" t="str">
        <f t="shared" si="954"/>
        <v>PJ/yr.</v>
      </c>
      <c r="F1566" s="1">
        <f>F1565-F1567</f>
        <v>7.7055306817220056E-3</v>
      </c>
      <c r="G1566" s="1">
        <f t="shared" ref="G1566:K1566" si="963">G1565-G1567</f>
        <v>8.761481628406626E-4</v>
      </c>
      <c r="H1566" s="1">
        <f t="shared" si="963"/>
        <v>1.2441813648399649E-3</v>
      </c>
      <c r="I1566" s="1">
        <f t="shared" si="963"/>
        <v>6.1197027893307454E-4</v>
      </c>
      <c r="J1566" s="1">
        <f t="shared" si="963"/>
        <v>-0.10620905427911544</v>
      </c>
      <c r="K1566" s="1">
        <f t="shared" si="963"/>
        <v>-2.8315983014978337E-2</v>
      </c>
    </row>
    <row r="1567" spans="2:11" x14ac:dyDescent="0.35">
      <c r="B1567" t="str">
        <f t="shared" si="947"/>
        <v>SPS3</v>
      </c>
      <c r="C1567" t="str">
        <f t="shared" si="952"/>
        <v>CH</v>
      </c>
      <c r="D1567" t="s">
        <v>1557</v>
      </c>
      <c r="E1567" t="str">
        <f t="shared" si="954"/>
        <v>PJ/yr.</v>
      </c>
      <c r="F1567" s="1">
        <f>SUM(F1568:F1569)</f>
        <v>6.4748744354315877E-4</v>
      </c>
      <c r="G1567" s="1">
        <f t="shared" ref="G1567:K1567" si="964">SUM(G1568:G1569)</f>
        <v>9.7962422531818678E-5</v>
      </c>
      <c r="H1567" s="1">
        <f t="shared" si="964"/>
        <v>1.1576065050731272E-4</v>
      </c>
      <c r="I1567" s="1">
        <f t="shared" si="964"/>
        <v>3.639674712750561E-5</v>
      </c>
      <c r="J1567" s="1">
        <f t="shared" si="964"/>
        <v>0.10675391631732252</v>
      </c>
      <c r="K1567" s="1">
        <f t="shared" si="964"/>
        <v>2.8441398733926464E-2</v>
      </c>
    </row>
    <row r="1568" spans="2:11" x14ac:dyDescent="0.35">
      <c r="B1568" t="str">
        <f t="shared" si="947"/>
        <v>SPS3</v>
      </c>
      <c r="C1568" t="str">
        <f t="shared" si="952"/>
        <v>CH</v>
      </c>
      <c r="D1568" t="s">
        <v>1558</v>
      </c>
      <c r="E1568" t="str">
        <f t="shared" si="954"/>
        <v>PJ/yr.</v>
      </c>
      <c r="F1568" s="1">
        <f>[1]Transport!B$27/SUM([1]Transport!B$24,[1]Transport!B$27)*F1565*(F$45+F$612)/(F$45+F$612+F$47)</f>
        <v>6.4748744354315877E-4</v>
      </c>
      <c r="G1568" s="1">
        <f>[1]Transport!C$27/SUM([1]Transport!C$24,[1]Transport!C$27)*G1565*(G$45+G$612)/(G$45+G$612+G$47)</f>
        <v>9.7962422531818678E-5</v>
      </c>
      <c r="H1568" s="1">
        <f>[1]Transport!D$27/SUM([1]Transport!D$24,[1]Transport!D$27)*H1565*(H$45+H$612)/(H$45+H$612+H$47)</f>
        <v>1.1576065050731272E-4</v>
      </c>
      <c r="I1568" s="1">
        <f>[1]Transport!E$27/SUM([1]Transport!E$24,[1]Transport!E$27)*I1565*(I$45+I$612)/(I$45+I$612+I$47)</f>
        <v>3.639674712750561E-5</v>
      </c>
      <c r="J1568" s="1">
        <f>[1]Transport!F$27/SUM([1]Transport!F$24,[1]Transport!F$27)*J1565*(J$45+J$612)/(J$45+J$612+J$47)</f>
        <v>1.7114832262498769E-4</v>
      </c>
      <c r="K1568" s="1">
        <f>[1]Transport!G$27/SUM([1]Transport!G$24,[1]Transport!G$27)*K1565*(K$45+K$612)/(K$45+K$612+K$47)</f>
        <v>6.6964398147482558E-5</v>
      </c>
    </row>
    <row r="1569" spans="2:11" x14ac:dyDescent="0.35">
      <c r="B1569" t="str">
        <f t="shared" si="947"/>
        <v>SPS3</v>
      </c>
      <c r="C1569" t="str">
        <f t="shared" si="952"/>
        <v>CH</v>
      </c>
      <c r="D1569" t="s">
        <v>1559</v>
      </c>
      <c r="E1569" t="str">
        <f t="shared" si="954"/>
        <v>PJ/yr.</v>
      </c>
      <c r="F1569" s="1">
        <f>(F$47+F$714)/([1]Transport!B$24+[1]Transport!B$27)*F1565</f>
        <v>0</v>
      </c>
      <c r="G1569" s="1">
        <f>(G$47+G$714)/([1]Transport!C$24+[1]Transport!C$27)*G1565</f>
        <v>0</v>
      </c>
      <c r="H1569" s="1">
        <f>(H$47+H$714)/([1]Transport!D$24+[1]Transport!D$27)*H1565</f>
        <v>0</v>
      </c>
      <c r="I1569" s="1">
        <f>(I$47+I$714)/([1]Transport!E$24+[1]Transport!E$27)*I1565</f>
        <v>0</v>
      </c>
      <c r="J1569" s="1">
        <f>(J$47+J$714)/([1]Transport!F$24+[1]Transport!F$27)*J1565</f>
        <v>0.10658276799469753</v>
      </c>
      <c r="K1569" s="1">
        <f>(K$47+K$714)/([1]Transport!G$24+[1]Transport!G$27)*K1565</f>
        <v>2.8374434335778981E-2</v>
      </c>
    </row>
    <row r="1570" spans="2:11" x14ac:dyDescent="0.35">
      <c r="B1570" t="str">
        <f t="shared" si="947"/>
        <v>SPS3</v>
      </c>
      <c r="C1570" t="str">
        <f t="shared" si="952"/>
        <v>CH</v>
      </c>
      <c r="D1570" t="s">
        <v>1560</v>
      </c>
      <c r="E1570" t="str">
        <f t="shared" si="954"/>
        <v>PJ/yr.</v>
      </c>
      <c r="F1570" s="1" cm="1">
        <f t="array" ref="F1570">SUMPRODUCT(("TFLGV-ICENGA"=[1]OUT_TransportEnergyCons!$A$3:$A$1000)*1,("Var_Fin"=[1]OUT_TransportEnergyCons!$B$3:$B$1000)*1,ISNUMBER(SEARCH("nga",[1]OUT_TransportEnergyCons!$C$3:$C$1000))*1,[1]OUT_TransportEnergyCons!D$3:D$1000)</f>
        <v>8.3530181252651648E-3</v>
      </c>
      <c r="G1570" s="1" cm="1">
        <f t="array" ref="G1570">SUMPRODUCT(("TFLGV-ICENGA"=[1]OUT_TransportEnergyCons!$A$3:$A$1000)*1,("Var_Fin"=[1]OUT_TransportEnergyCons!$B$3:$B$1000)*1,ISNUMBER(SEARCH("nga",[1]OUT_TransportEnergyCons!$C$3:$C$1000))*1,[1]OUT_TransportEnergyCons!E$3:E$1000)</f>
        <v>9.7411058537248132E-4</v>
      </c>
      <c r="H1570" s="1" cm="1">
        <f t="array" ref="H1570">SUMPRODUCT(("TFLGV-ICENGA"=[1]OUT_TransportEnergyCons!$A$3:$A$1000)*1,("Var_Fin"=[1]OUT_TransportEnergyCons!$B$3:$B$1000)*1,ISNUMBER(SEARCH("nga",[1]OUT_TransportEnergyCons!$C$3:$C$1000))*1,[1]OUT_TransportEnergyCons!F$3:F$1000)</f>
        <v>1.3599420153472775E-3</v>
      </c>
      <c r="I1570" s="1" cm="1">
        <f t="array" ref="I1570">SUMPRODUCT(("TFLGV-ICENGA"=[1]OUT_TransportEnergyCons!$A$3:$A$1000)*1,("Var_Fin"=[1]OUT_TransportEnergyCons!$B$3:$B$1000)*1,ISNUMBER(SEARCH("nga",[1]OUT_TransportEnergyCons!$C$3:$C$1000))*1,[1]OUT_TransportEnergyCons!G$3:G$1000)</f>
        <v>6.4836702606058019E-4</v>
      </c>
      <c r="J1570" s="1" cm="1">
        <f t="array" ref="J1570">SUMPRODUCT(("TFLGV-ICENGA"=[1]OUT_TransportEnergyCons!$A$3:$A$1000)*1,("Var_Fin"=[1]OUT_TransportEnergyCons!$B$3:$B$1000)*1,ISNUMBER(SEARCH("nga",[1]OUT_TransportEnergyCons!$C$3:$C$1000))*1,[1]OUT_TransportEnergyCons!H$3:H$1000)</f>
        <v>5.4486203820708139E-4</v>
      </c>
      <c r="K1570" s="1" cm="1">
        <f t="array" ref="K1570">SUMPRODUCT(("TFLGV-ICENGA"=[1]OUT_TransportEnergyCons!$A$3:$A$1000)*1,("Var_Fin"=[1]OUT_TransportEnergyCons!$B$3:$B$1000)*1,ISNUMBER(SEARCH("nga",[1]OUT_TransportEnergyCons!$C$3:$C$1000))*1,[1]OUT_TransportEnergyCons!I$3:I$1000)</f>
        <v>1.25415718948127E-4</v>
      </c>
    </row>
    <row r="1571" spans="2:11" x14ac:dyDescent="0.35">
      <c r="B1571" s="2" t="str">
        <f t="shared" si="947"/>
        <v>SPS3</v>
      </c>
      <c r="C1571" s="2" t="str">
        <f t="shared" si="952"/>
        <v>CH</v>
      </c>
      <c r="D1571" s="2" t="s">
        <v>1561</v>
      </c>
      <c r="E1571" s="2" t="s">
        <v>1518</v>
      </c>
      <c r="F1571" s="3">
        <f>SUM(F1572:F1580)</f>
        <v>4.7789851435374091</v>
      </c>
      <c r="G1571" s="3">
        <f t="shared" ref="G1571:K1571" si="965">SUM(G1572:G1580)</f>
        <v>4.7701479102156759</v>
      </c>
      <c r="H1571" s="3">
        <f t="shared" si="965"/>
        <v>4.7059856520163033</v>
      </c>
      <c r="I1571" s="3">
        <f t="shared" si="965"/>
        <v>4.6430000441133519</v>
      </c>
      <c r="J1571" s="3">
        <f t="shared" si="965"/>
        <v>4.9939390869999034</v>
      </c>
      <c r="K1571" s="3">
        <f t="shared" si="965"/>
        <v>5.394432761509572</v>
      </c>
    </row>
    <row r="1572" spans="2:11" x14ac:dyDescent="0.35">
      <c r="B1572" t="str">
        <f t="shared" si="947"/>
        <v>SPS3</v>
      </c>
      <c r="C1572" t="str">
        <f t="shared" si="952"/>
        <v>CH</v>
      </c>
      <c r="D1572" t="s">
        <v>1562</v>
      </c>
      <c r="E1572" t="s">
        <v>1518</v>
      </c>
      <c r="F1572" s="1" cm="1">
        <f t="array" ref="F1572">SUMPRODUCT(("TFLGV-BeVELCExt"=[1]OUT_TransportEnergyCons!$A$3:$A$1000)*1,("var_fout"=[1]OUT_TransportEnergyCons!$B$3:$B$1000)*1,ISNUMBER(SEARCH("TFLGV",[1]OUT_TransportEnergyCons!$C$3:$C$1000))*1,[1]OUT_TransportEnergyCons!D$3:D$1000)</f>
        <v>2.7802992156727064E-2</v>
      </c>
      <c r="G1572" s="1" cm="1">
        <f t="array" ref="G1572">SUMPRODUCT(("TFLGV-BeVELCExt"=[1]OUT_TransportEnergyCons!$A$3:$A$1000)*1,("var_fout"=[1]OUT_TransportEnergyCons!$B$3:$B$1000)*1,ISNUMBER(SEARCH("TFLGV",[1]OUT_TransportEnergyCons!$C$3:$C$1000))*1,[1]OUT_TransportEnergyCons!E$3:E$1000)</f>
        <v>8.5575049017965945E-3</v>
      </c>
      <c r="H1572" s="1" cm="1">
        <f t="array" ref="H1572">SUMPRODUCT(("TFLGV-BeVELCExt"=[1]OUT_TransportEnergyCons!$A$3:$A$1000)*1,("var_fout"=[1]OUT_TransportEnergyCons!$B$3:$B$1000)*1,ISNUMBER(SEARCH("TFLGV",[1]OUT_TransportEnergyCons!$C$3:$C$1000))*1,[1]OUT_TransportEnergyCons!F$3:F$1000)</f>
        <v>1.8551668585317819E-2</v>
      </c>
      <c r="I1572" s="1" cm="1">
        <f t="array" ref="I1572">SUMPRODUCT(("TFLGV-BeVELCExt"=[1]OUT_TransportEnergyCons!$A$3:$A$1000)*1,("var_fout"=[1]OUT_TransportEnergyCons!$B$3:$B$1000)*1,ISNUMBER(SEARCH("TFLGV",[1]OUT_TransportEnergyCons!$C$3:$C$1000))*1,[1]OUT_TransportEnergyCons!G$3:G$1000)</f>
        <v>9.2708534551636836E-3</v>
      </c>
      <c r="J1572" s="1" cm="1">
        <f t="array" ref="J1572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2" s="1" cm="1">
        <f t="array" ref="K1572">SUMPRODUCT(("TFLGV-BeVELCExt"=[1]OUT_TransportEnergyCons!$A$3:$A$1000)*1,("var_fout"=[1]OUT_TransportEnergyCons!$B$3:$B$1000)*1,ISNUMBER(SEARCH("TFLGV",[1]OUT_TransportEnergyCons!$C$3:$C$1000))*1,[1]OUT_TransportEnergyCons!I$3:I$1000)</f>
        <v>0</v>
      </c>
    </row>
    <row r="1573" spans="2:11" x14ac:dyDescent="0.35">
      <c r="B1573" t="str">
        <f t="shared" si="947"/>
        <v>SPS3</v>
      </c>
      <c r="C1573" t="str">
        <f t="shared" si="952"/>
        <v>CH</v>
      </c>
      <c r="D1573" t="s">
        <v>1563</v>
      </c>
      <c r="E1573" t="s">
        <v>1518</v>
      </c>
      <c r="F1573" s="1" cm="1">
        <f t="array" ref="F1573">SUMPRODUCT(("TFLGV-BEVELC"=[1]OUT_TransportEnergyCons!$A$3:$A$1000)*1,("var_fout"=[1]OUT_TransportEnergyCons!$B$3:$B$1000)*1,ISNUMBER(SEARCH("TFLGV",[1]OUT_TransportEnergyCons!$C$3:$C$1000))*1,[1]OUT_TransportEnergyCons!D$3:D$1000)</f>
        <v>2.3830946649191529E-2</v>
      </c>
      <c r="G1573" s="1" cm="1">
        <f t="array" ref="G1573">SUMPRODUCT(("TFLGV-BEVELC"=[1]OUT_TransportEnergyCons!$A$3:$A$1000)*1,("var_fout"=[1]OUT_TransportEnergyCons!$B$3:$B$1000)*1,ISNUMBER(SEARCH("TFLGV",[1]OUT_TransportEnergyCons!$C$3:$C$1000))*1,[1]OUT_TransportEnergyCons!E$3:E$1000)</f>
        <v>4.3991826388895629E-2</v>
      </c>
      <c r="H1573" s="1" cm="1">
        <f t="array" ref="H1573">SUMPRODUCT(("TFLGV-BEVELC"=[1]OUT_TransportEnergyCons!$A$3:$A$1000)*1,("var_fout"=[1]OUT_TransportEnergyCons!$B$3:$B$1000)*1,ISNUMBER(SEARCH("TFLGV",[1]OUT_TransportEnergyCons!$C$3:$C$1000))*1,[1]OUT_TransportEnergyCons!F$3:F$1000)</f>
        <v>8.3319212427587122E-2</v>
      </c>
      <c r="I1573" s="1" cm="1">
        <f t="array" ref="I1573">SUMPRODUCT(("TFLGV-BEVELC"=[1]OUT_TransportEnergyCons!$A$3:$A$1000)*1,("var_fout"=[1]OUT_TransportEnergyCons!$B$3:$B$1000)*1,ISNUMBER(SEARCH("TFLGV",[1]OUT_TransportEnergyCons!$C$3:$C$1000))*1,[1]OUT_TransportEnergyCons!G$3:G$1000)</f>
        <v>1.1526216198294315</v>
      </c>
      <c r="J1573" s="1" cm="1">
        <f t="array" ref="J1573">SUMPRODUCT(("TFLGV-BEVELC"=[1]OUT_TransportEnergyCons!$A$3:$A$1000)*1,("var_fout"=[1]OUT_TransportEnergyCons!$B$3:$B$1000)*1,ISNUMBER(SEARCH("TFLGV",[1]OUT_TransportEnergyCons!$C$3:$C$1000))*1,[1]OUT_TransportEnergyCons!H$3:H$1000)</f>
        <v>4.4552611225073617</v>
      </c>
      <c r="K1573" s="1" cm="1">
        <f t="array" ref="K1573">SUMPRODUCT(("TFLGV-BEVELC"=[1]OUT_TransportEnergyCons!$A$3:$A$1000)*1,("var_fout"=[1]OUT_TransportEnergyCons!$B$3:$B$1000)*1,ISNUMBER(SEARCH("TFLGV",[1]OUT_TransportEnergyCons!$C$3:$C$1000))*1,[1]OUT_TransportEnergyCons!I$3:I$1000)</f>
        <v>5.3942521353422386</v>
      </c>
    </row>
    <row r="1574" spans="2:11" x14ac:dyDescent="0.35">
      <c r="B1574" t="str">
        <f t="shared" si="947"/>
        <v>SPS3</v>
      </c>
      <c r="C1574" t="str">
        <f t="shared" si="952"/>
        <v>CH</v>
      </c>
      <c r="D1574" t="s">
        <v>1564</v>
      </c>
      <c r="E1574" t="s">
        <v>1518</v>
      </c>
      <c r="F1574" s="1" cm="1">
        <f t="array" ref="F1574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4" s="1" cm="1">
        <f t="array" ref="G1574">SUMPRODUCT(("TFLGV-FCLH2O"=[1]OUT_TransportEnergyCons!$A$3:$A$1000)*1,("var_fout"=[1]OUT_TransportEnergyCons!$B$3:$B$1000)*1,ISNUMBER(SEARCH("TFLGV",[1]OUT_TransportEnergyCons!$C$3:$C$1000))*1,[1]OUT_TransportEnergyCons!E$3:E$1000)</f>
        <v>8.4675343481774149E-5</v>
      </c>
      <c r="H1574" s="1" cm="1">
        <f t="array" ref="H1574">SUMPRODUCT(("TFLGV-FCLH2O"=[1]OUT_TransportEnergyCons!$A$3:$A$1000)*1,("var_fout"=[1]OUT_TransportEnergyCons!$B$3:$B$1000)*1,ISNUMBER(SEARCH("TFLGV",[1]OUT_TransportEnergyCons!$C$3:$C$1000))*1,[1]OUT_TransportEnergyCons!F$3:F$1000)</f>
        <v>1.0614905414285155E-4</v>
      </c>
      <c r="I1574" s="1" cm="1">
        <f t="array" ref="I1574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4" s="1" cm="1">
        <f t="array" ref="J1574">SUMPRODUCT(("TFLGV-FCLH2O"=[1]OUT_TransportEnergyCons!$A$3:$A$1000)*1,("var_fout"=[1]OUT_TransportEnergyCons!$B$3:$B$1000)*1,ISNUMBER(SEARCH("TFLGV",[1]OUT_TransportEnergyCons!$C$3:$C$1000))*1,[1]OUT_TransportEnergyCons!H$3:H$1000)</f>
        <v>2.9004242982732173E-5</v>
      </c>
      <c r="K1574" s="1" cm="1">
        <f t="array" ref="K1574">SUMPRODUCT(("TFLGV-FCLH2O"=[1]OUT_TransportEnergyCons!$A$3:$A$1000)*1,("var_fout"=[1]OUT_TransportEnergyCons!$B$3:$B$1000)*1,ISNUMBER(SEARCH("TFLGV",[1]OUT_TransportEnergyCons!$C$3:$C$1000))*1,[1]OUT_TransportEnergyCons!I$3:I$1000)</f>
        <v>3.0785686437410884E-5</v>
      </c>
    </row>
    <row r="1575" spans="2:11" x14ac:dyDescent="0.35">
      <c r="B1575" t="str">
        <f t="shared" si="947"/>
        <v>SPS3</v>
      </c>
      <c r="C1575" t="str">
        <f t="shared" si="952"/>
        <v>CH</v>
      </c>
      <c r="D1575" t="s">
        <v>1590</v>
      </c>
      <c r="E1575" t="s">
        <v>1518</v>
      </c>
      <c r="F1575" s="1" cm="1">
        <f t="array" ref="F1575">SUMPRODUCT(("TFLGV-ICEGSLExt"=[1]OUT_TransportEnergyCons!$A$3:$A$1000)*1,("var_fout"=[1]OUT_TransportEnergyCons!$B$3:$B$1000)*1,ISNUMBER(SEARCH("TFLGV",[1]OUT_TransportEnergyCons!$C$3:$C$1000))*1,[1]OUT_TransportEnergyCons!D$3:D$1000)</f>
        <v>0.23100484183622577</v>
      </c>
      <c r="G1575" s="1" cm="1">
        <f t="array" ref="G1575">SUMPRODUCT(("TFLGV-ICEGSLExt"=[1]OUT_TransportEnergyCons!$A$3:$A$1000)*1,("var_fout"=[1]OUT_TransportEnergyCons!$B$3:$B$1000)*1,ISNUMBER(SEARCH("TFLGV",[1]OUT_TransportEnergyCons!$C$3:$C$1000))*1,[1]OUT_TransportEnergyCons!E$3:E$1000)</f>
        <v>0.52020823511328662</v>
      </c>
      <c r="H1575" s="1" cm="1">
        <f t="array" ref="H1575">SUMPRODUCT(("TFLGV-ICEGSLExt"=[1]OUT_TransportEnergyCons!$A$3:$A$1000)*1,("var_fout"=[1]OUT_TransportEnergyCons!$B$3:$B$1000)*1,ISNUMBER(SEARCH("TFLGV",[1]OUT_TransportEnergyCons!$C$3:$C$1000))*1,[1]OUT_TransportEnergyCons!F$3:F$1000)</f>
        <v>0.15472741994875561</v>
      </c>
      <c r="I1575" s="1" cm="1">
        <f t="array" ref="I1575">SUMPRODUCT(("TFLGV-ICEGSLExt"=[1]OUT_TransportEnergyCons!$A$3:$A$1000)*1,("var_fout"=[1]OUT_TransportEnergyCons!$B$3:$B$1000)*1,ISNUMBER(SEARCH("TFLGV",[1]OUT_TransportEnergyCons!$C$3:$C$1000))*1,[1]OUT_TransportEnergyCons!G$3:G$1000)</f>
        <v>7.7060227588339802E-2</v>
      </c>
      <c r="J1575" s="1" cm="1">
        <f t="array" ref="J1575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5" s="1" cm="1">
        <f t="array" ref="K1575">SUMPRODUCT(("TFLGV-ICEGSLExt"=[1]OUT_TransportEnergyCons!$A$3:$A$1000)*1,("var_fout"=[1]OUT_TransportEnergyCons!$B$3:$B$1000)*1,ISNUMBER(SEARCH("TFLGV",[1]OUT_TransportEnergyCons!$C$3:$C$1000))*1,[1]OUT_TransportEnergyCons!I$3:I$1000)</f>
        <v>0</v>
      </c>
    </row>
    <row r="1576" spans="2:11" x14ac:dyDescent="0.35">
      <c r="B1576" t="str">
        <f t="shared" si="947"/>
        <v>SPS3</v>
      </c>
      <c r="C1576" t="str">
        <f t="shared" si="952"/>
        <v>CH</v>
      </c>
      <c r="D1576" t="s">
        <v>1591</v>
      </c>
      <c r="E1576" t="s">
        <v>1518</v>
      </c>
      <c r="F1576" s="1" cm="1">
        <f t="array" ref="F1576">SUMPRODUCT(("TFLGV-ICEGSL"=[1]OUT_TransportEnergyCons!$A$3:$A$1000)*1,("var_fout"=[1]OUT_TransportEnergyCons!$B$3:$B$1000)*1,ISNUMBER(SEARCH("TFLGV",[1]OUT_TransportEnergyCons!$C$3:$C$1000))*1,[1]OUT_TransportEnergyCons!D$3:D$1000)</f>
        <v>0.12599068808835048</v>
      </c>
      <c r="G1576" s="1" cm="1">
        <f t="array" ref="G1576">SUMPRODUCT(("TFLGV-ICEGSL"=[1]OUT_TransportEnergyCons!$A$3:$A$1000)*1,("var_fout"=[1]OUT_TransportEnergyCons!$B$3:$B$1000)*1,ISNUMBER(SEARCH("TFLGV",[1]OUT_TransportEnergyCons!$C$3:$C$1000))*1,[1]OUT_TransportEnergyCons!E$3:E$1000)</f>
        <v>0.20403565616964844</v>
      </c>
      <c r="H1576" s="1" cm="1">
        <f t="array" ref="H1576">SUMPRODUCT(("TFLGV-ICEGSL"=[1]OUT_TransportEnergyCons!$A$3:$A$1000)*1,("var_fout"=[1]OUT_TransportEnergyCons!$B$3:$B$1000)*1,ISNUMBER(SEARCH("TFLGV",[1]OUT_TransportEnergyCons!$C$3:$C$1000))*1,[1]OUT_TransportEnergyCons!F$3:F$1000)</f>
        <v>0.31759605844386413</v>
      </c>
      <c r="I1576" s="1" cm="1">
        <f t="array" ref="I1576">SUMPRODUCT(("TFLGV-ICEGSL"=[1]OUT_TransportEnergyCons!$A$3:$A$1000)*1,("var_fout"=[1]OUT_TransportEnergyCons!$B$3:$B$1000)*1,ISNUMBER(SEARCH("TFLGV",[1]OUT_TransportEnergyCons!$C$3:$C$1000))*1,[1]OUT_TransportEnergyCons!G$3:G$1000)</f>
        <v>0.47890740745798732</v>
      </c>
      <c r="J1576" s="1" cm="1">
        <f t="array" ref="J1576">SUMPRODUCT(("TFLGV-ICEGSL"=[1]OUT_TransportEnergyCons!$A$3:$A$1000)*1,("var_fout"=[1]OUT_TransportEnergyCons!$B$3:$B$1000)*1,ISNUMBER(SEARCH("TFLGV",[1]OUT_TransportEnergyCons!$C$3:$C$1000))*1,[1]OUT_TransportEnergyCons!H$3:H$1000)</f>
        <v>4.9073169705271133E-2</v>
      </c>
      <c r="K1576" s="1" cm="1">
        <f t="array" ref="K1576">SUMPRODUCT(("TFLGV-ICEGSL"=[1]OUT_TransportEnergyCons!$A$3:$A$1000)*1,("var_fout"=[1]OUT_TransportEnergyCons!$B$3:$B$1000)*1,ISNUMBER(SEARCH("TFLGV",[1]OUT_TransportEnergyCons!$C$3:$C$1000))*1,[1]OUT_TransportEnergyCons!I$3:I$1000)</f>
        <v>2.8737144728422998E-5</v>
      </c>
    </row>
    <row r="1577" spans="2:11" x14ac:dyDescent="0.35">
      <c r="B1577" t="str">
        <f t="shared" si="947"/>
        <v>SPS3</v>
      </c>
      <c r="C1577" t="str">
        <f t="shared" si="952"/>
        <v>CH</v>
      </c>
      <c r="D1577" t="s">
        <v>1565</v>
      </c>
      <c r="E1577" t="s">
        <v>1518</v>
      </c>
      <c r="F1577" s="1" cm="1">
        <f t="array" ref="F1577">SUMPRODUCT(("TFLGV-ICEdslExt"=[1]OUT_TransportEnergyCons!$A$3:$A$1000)*1,("var_fout"=[1]OUT_TransportEnergyCons!$B$3:$B$1000)*1,ISNUMBER(SEARCH("TFLGV",[1]OUT_TransportEnergyCons!$C$3:$C$1000))*1,[1]OUT_TransportEnergyCons!D$3:D$1000)</f>
        <v>2.849346549109339</v>
      </c>
      <c r="G1577" s="1" cm="1">
        <f t="array" ref="G1577">SUMPRODUCT(("TFLGV-ICEdslExt"=[1]OUT_TransportEnergyCons!$A$3:$A$1000)*1,("var_fout"=[1]OUT_TransportEnergyCons!$B$3:$B$1000)*1,ISNUMBER(SEARCH("TFLGV",[1]OUT_TransportEnergyCons!$C$3:$C$1000))*1,[1]OUT_TransportEnergyCons!E$3:E$1000)</f>
        <v>1.9933821401056873</v>
      </c>
      <c r="H1577" s="1" cm="1">
        <f t="array" ref="H1577">SUMPRODUCT(("TFLGV-ICEdslExt"=[1]OUT_TransportEnergyCons!$A$3:$A$1000)*1,("var_fout"=[1]OUT_TransportEnergyCons!$B$3:$B$1000)*1,ISNUMBER(SEARCH("TFLGV",[1]OUT_TransportEnergyCons!$C$3:$C$1000))*1,[1]OUT_TransportEnergyCons!F$3:F$1000)</f>
        <v>1.5340674243107217</v>
      </c>
      <c r="I1577" s="1" cm="1">
        <f t="array" ref="I1577">SUMPRODUCT(("TFLGV-ICEdslExt"=[1]OUT_TransportEnergyCons!$A$3:$A$1000)*1,("var_fout"=[1]OUT_TransportEnergyCons!$B$3:$B$1000)*1,ISNUMBER(SEARCH("TFLGV",[1]OUT_TransportEnergyCons!$C$3:$C$1000))*1,[1]OUT_TransportEnergyCons!G$3:G$1000)</f>
        <v>0.76672226100521623</v>
      </c>
      <c r="J1577" s="1" cm="1">
        <f t="array" ref="J1577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SUMPRODUCT(("TFLGV-ICEdslExt"=[1]OUT_TransportEnergyCons!$A$3:$A$1000)*1,("var_fout"=[1]OUT_TransportEnergyCons!$B$3:$B$1000)*1,ISNUMBER(SEARCH("TFLGV",[1]OUT_TransportEnergyCons!$C$3:$C$1000))*1,[1]OUT_TransportEnergyCons!I$3:I$1000)</f>
        <v>0</v>
      </c>
    </row>
    <row r="1578" spans="2:11" x14ac:dyDescent="0.35">
      <c r="B1578" t="str">
        <f t="shared" si="947"/>
        <v>SPS3</v>
      </c>
      <c r="C1578" t="str">
        <f t="shared" si="952"/>
        <v>CH</v>
      </c>
      <c r="D1578" t="s">
        <v>1566</v>
      </c>
      <c r="E1578" t="s">
        <v>1518</v>
      </c>
      <c r="F1578" s="1" cm="1">
        <f t="array" ref="F1578">SUMPRODUCT(("TFLGV-ICEdsl"=[1]OUT_TransportEnergyCons!$A$3:$A$1000)*1,("var_fout"=[1]OUT_TransportEnergyCons!$B$3:$B$1000)*1,ISNUMBER(SEARCH("TFLGV",[1]OUT_TransportEnergyCons!$C$3:$C$1000))*1,[1]OUT_TransportEnergyCons!D$3:D$1000)</f>
        <v>1.5183313408121673</v>
      </c>
      <c r="G1578" s="1" cm="1">
        <f t="array" ref="G1578">SUMPRODUCT(("TFLGV-ICEdsl"=[1]OUT_TransportEnergyCons!$A$3:$A$1000)*1,("var_fout"=[1]OUT_TransportEnergyCons!$B$3:$B$1000)*1,ISNUMBER(SEARCH("TFLGV",[1]OUT_TransportEnergyCons!$C$3:$C$1000))*1,[1]OUT_TransportEnergyCons!E$3:E$1000)</f>
        <v>1.7951090784339425</v>
      </c>
      <c r="H1578" s="1" cm="1">
        <f t="array" ref="H1578">SUMPRODUCT(("TFLGV-ICEdsl"=[1]OUT_TransportEnergyCons!$A$3:$A$1000)*1,("var_fout"=[1]OUT_TransportEnergyCons!$B$3:$B$1000)*1,ISNUMBER(SEARCH("TFLGV",[1]OUT_TransportEnergyCons!$C$3:$C$1000))*1,[1]OUT_TransportEnergyCons!F$3:F$1000)</f>
        <v>1.7101753959036001</v>
      </c>
      <c r="I1578" s="1" cm="1">
        <f t="array" ref="I1578">SUMPRODUCT(("TFLGV-ICEdsl"=[1]OUT_TransportEnergyCons!$A$3:$A$1000)*1,("var_fout"=[1]OUT_TransportEnergyCons!$B$3:$B$1000)*1,ISNUMBER(SEARCH("TFLGV",[1]OUT_TransportEnergyCons!$C$3:$C$1000))*1,[1]OUT_TransportEnergyCons!G$3:G$1000)</f>
        <v>0.7223182577798738</v>
      </c>
      <c r="J1578" s="1" cm="1">
        <f t="array" ref="J1578">SUMPRODUCT(("TFLGV-ICEdsl"=[1]OUT_TransportEnergyCons!$A$3:$A$1000)*1,("var_fout"=[1]OUT_TransportEnergyCons!$B$3:$B$1000)*1,ISNUMBER(SEARCH("TFLGV",[1]OUT_TransportEnergyCons!$C$3:$C$1000))*1,[1]OUT_TransportEnergyCons!H$3:H$1000)</f>
        <v>3.9378778158402893E-4</v>
      </c>
      <c r="K1578" s="1" cm="1">
        <f t="array" ref="K1578">SUMPRODUCT(("TFLGV-ICEdsl"=[1]OUT_TransportEnergyCons!$A$3:$A$1000)*1,("var_fout"=[1]OUT_TransportEnergyCons!$B$3:$B$1000)*1,ISNUMBER(SEARCH("TFLGV",[1]OUT_TransportEnergyCons!$C$3:$C$1000))*1,[1]OUT_TransportEnergyCons!I$3:I$1000)</f>
        <v>1.8887594073104638E-5</v>
      </c>
    </row>
    <row r="1579" spans="2:11" x14ac:dyDescent="0.35">
      <c r="B1579" t="str">
        <f t="shared" si="947"/>
        <v>SPS3</v>
      </c>
      <c r="C1579" t="str">
        <f t="shared" si="952"/>
        <v>CH</v>
      </c>
      <c r="D1579" t="s">
        <v>1567</v>
      </c>
      <c r="E1579" t="s">
        <v>1518</v>
      </c>
      <c r="F1579" s="1" cm="1">
        <f t="array" ref="F1579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79" s="1" cm="1">
        <f t="array" ref="G1579">SUMPRODUCT(("TFLGV-HYBDSL"=[1]OUT_TransportEnergyCons!$A$3:$A$1000)*1,("var_fout"=[1]OUT_TransportEnergyCons!$B$3:$B$1000)*1,ISNUMBER(SEARCH("TFLGV",[1]OUT_TransportEnergyCons!$C$3:$C$1000))*1,[1]OUT_TransportEnergyCons!E$3:E$1000)</f>
        <v>0.2044665163804959</v>
      </c>
      <c r="H1579" s="1" cm="1">
        <f t="array" ref="H1579">SUMPRODUCT(("TFLGV-HYBDSL"=[1]OUT_TransportEnergyCons!$A$3:$A$1000)*1,("var_fout"=[1]OUT_TransportEnergyCons!$B$3:$B$1000)*1,ISNUMBER(SEARCH("TFLGV",[1]OUT_TransportEnergyCons!$C$3:$C$1000))*1,[1]OUT_TransportEnergyCons!F$3:F$1000)</f>
        <v>0.8870063573095438</v>
      </c>
      <c r="I1579" s="1" cm="1">
        <f t="array" ref="I1579">SUMPRODUCT(("TFLGV-HYBDSL"=[1]OUT_TransportEnergyCons!$A$3:$A$1000)*1,("var_fout"=[1]OUT_TransportEnergyCons!$B$3:$B$1000)*1,ISNUMBER(SEARCH("TFLGV",[1]OUT_TransportEnergyCons!$C$3:$C$1000))*1,[1]OUT_TransportEnergyCons!G$3:G$1000)</f>
        <v>1.4358915654882749</v>
      </c>
      <c r="J1579" s="1" cm="1">
        <f t="array" ref="J1579">SUMPRODUCT(("TFLGV-HYBDSL"=[1]OUT_TransportEnergyCons!$A$3:$A$1000)*1,("var_fout"=[1]OUT_TransportEnergyCons!$B$3:$B$1000)*1,ISNUMBER(SEARCH("TFLGV",[1]OUT_TransportEnergyCons!$C$3:$C$1000))*1,[1]OUT_TransportEnergyCons!H$3:H$1000)</f>
        <v>0.4890073325646197</v>
      </c>
      <c r="K1579" s="1" cm="1">
        <f t="array" ref="K1579">SUMPRODUCT(("TFLGV-HYBDSL"=[1]OUT_TransportEnergyCons!$A$3:$A$1000)*1,("var_fout"=[1]OUT_TransportEnergyCons!$B$3:$B$1000)*1,ISNUMBER(SEARCH("TFLGV",[1]OUT_TransportEnergyCons!$C$3:$C$1000))*1,[1]OUT_TransportEnergyCons!I$3:I$1000)</f>
        <v>6.2010356262157332E-5</v>
      </c>
    </row>
    <row r="1580" spans="2:11" x14ac:dyDescent="0.35">
      <c r="B1580" t="str">
        <f t="shared" si="947"/>
        <v>SPS3</v>
      </c>
      <c r="C1580" t="str">
        <f t="shared" si="952"/>
        <v>CH</v>
      </c>
      <c r="D1580" t="s">
        <v>1568</v>
      </c>
      <c r="E1580" t="s">
        <v>1518</v>
      </c>
      <c r="F1580" s="1" cm="1">
        <f t="array" ref="F1580">SUMPRODUCT(("TFLGV-ICENGA"=[1]OUT_TransportEnergyCons!$A$3:$A$1000)*1,("var_fout"=[1]OUT_TransportEnergyCons!$B$3:$B$1000)*1,ISNUMBER(SEARCH("TFLGV",[1]OUT_TransportEnergyCons!$C$3:$C$1000))*1,[1]OUT_TransportEnergyCons!D$3:D$1000)</f>
        <v>2.6777848854078763E-3</v>
      </c>
      <c r="G1580" s="1" cm="1">
        <f t="array" ref="G1580">SUMPRODUCT(("TFLGV-ICENGA"=[1]OUT_TransportEnergyCons!$A$3:$A$1000)*1,("var_fout"=[1]OUT_TransportEnergyCons!$B$3:$B$1000)*1,ISNUMBER(SEARCH("TFLGV",[1]OUT_TransportEnergyCons!$C$3:$C$1000))*1,[1]OUT_TransportEnergyCons!E$3:E$1000)</f>
        <v>3.1227737844079462E-4</v>
      </c>
      <c r="H1580" s="1" cm="1">
        <f t="array" ref="H1580">SUMPRODUCT(("TFLGV-ICENGA"=[1]OUT_TransportEnergyCons!$A$3:$A$1000)*1,("var_fout"=[1]OUT_TransportEnergyCons!$B$3:$B$1000)*1,ISNUMBER(SEARCH("TFLGV",[1]OUT_TransportEnergyCons!$C$3:$C$1000))*1,[1]OUT_TransportEnergyCons!F$3:F$1000)</f>
        <v>4.3596603277003666E-4</v>
      </c>
      <c r="I1580" s="1" cm="1">
        <f t="array" ref="I1580">SUMPRODUCT(("TFLGV-ICENGA"=[1]OUT_TransportEnergyCons!$A$3:$A$1000)*1,("var_fout"=[1]OUT_TransportEnergyCons!$B$3:$B$1000)*1,ISNUMBER(SEARCH("TFLGV",[1]OUT_TransportEnergyCons!$C$3:$C$1000))*1,[1]OUT_TransportEnergyCons!G$3:G$1000)</f>
        <v>2.0785150906478571E-4</v>
      </c>
      <c r="J1580" s="1" cm="1">
        <f t="array" ref="J1580">SUMPRODUCT(("TFLGV-ICENGA"=[1]OUT_TransportEnergyCons!$A$3:$A$1000)*1,("var_fout"=[1]OUT_TransportEnergyCons!$B$3:$B$1000)*1,ISNUMBER(SEARCH("TFLGV",[1]OUT_TransportEnergyCons!$C$3:$C$1000))*1,[1]OUT_TransportEnergyCons!H$3:H$1000)</f>
        <v>1.7467019808449554E-4</v>
      </c>
      <c r="K1580" s="1" cm="1">
        <f t="array" ref="K1580">SUMPRODUCT(("TFLGV-ICENGA"=[1]OUT_TransportEnergyCons!$A$3:$A$1000)*1,("var_fout"=[1]OUT_TransportEnergyCons!$B$3:$B$1000)*1,ISNUMBER(SEARCH("TFLGV",[1]OUT_TransportEnergyCons!$C$3:$C$1000))*1,[1]OUT_TransportEnergyCons!I$3:I$1000)</f>
        <v>4.020538583246463E-5</v>
      </c>
    </row>
    <row r="1581" spans="2:11" x14ac:dyDescent="0.35">
      <c r="B1581" s="2" t="str">
        <f t="shared" si="947"/>
        <v>SPS3</v>
      </c>
      <c r="C1581" s="2" t="str">
        <f t="shared" si="952"/>
        <v>CH</v>
      </c>
      <c r="D1581" s="2" t="s">
        <v>1569</v>
      </c>
      <c r="E1581" s="2" t="s">
        <v>1577</v>
      </c>
      <c r="F1581" s="24" t="s">
        <v>292</v>
      </c>
      <c r="G1581" s="24" t="s">
        <v>292</v>
      </c>
      <c r="H1581" s="24" t="s">
        <v>292</v>
      </c>
      <c r="I1581" s="24" t="s">
        <v>292</v>
      </c>
      <c r="J1581" s="24" t="s">
        <v>292</v>
      </c>
      <c r="K1581" s="24" t="s">
        <v>292</v>
      </c>
    </row>
    <row r="1582" spans="2:11" x14ac:dyDescent="0.35">
      <c r="B1582" t="str">
        <f t="shared" si="947"/>
        <v>SPS3</v>
      </c>
      <c r="C1582" t="str">
        <f t="shared" si="952"/>
        <v>CH</v>
      </c>
      <c r="D1582" t="s">
        <v>1570</v>
      </c>
      <c r="E1582" t="s">
        <v>1577</v>
      </c>
      <c r="F1582" s="1">
        <f>IFERROR(F1572/F1546,"-")</f>
        <v>0.68922285337539602</v>
      </c>
      <c r="G1582" s="1">
        <f t="shared" ref="G1582:K1582" si="966">IFERROR(G1572/G1546,"-")</f>
        <v>0.69564643130450587</v>
      </c>
      <c r="H1582" s="1">
        <f t="shared" si="966"/>
        <v>0.70528179819817016</v>
      </c>
      <c r="I1582" s="1">
        <f t="shared" si="966"/>
        <v>0.70528179819816927</v>
      </c>
      <c r="J1582" s="1" t="str">
        <f t="shared" si="966"/>
        <v>-</v>
      </c>
      <c r="K1582" s="1" t="str">
        <f t="shared" si="966"/>
        <v>-</v>
      </c>
    </row>
    <row r="1583" spans="2:11" x14ac:dyDescent="0.35">
      <c r="B1583" t="str">
        <f t="shared" si="947"/>
        <v>SPS3</v>
      </c>
      <c r="C1583" t="str">
        <f t="shared" si="952"/>
        <v>CH</v>
      </c>
      <c r="D1583" t="s">
        <v>1571</v>
      </c>
      <c r="E1583" t="s">
        <v>1577</v>
      </c>
      <c r="F1583" s="1">
        <f>IFERROR(F1573/F1547,"-")</f>
        <v>0.68135756995377272</v>
      </c>
      <c r="G1583" s="1">
        <f t="shared" ref="G1583:K1583" si="967">IFERROR(G1573/G1547,"-")</f>
        <v>0.68135756995377239</v>
      </c>
      <c r="H1583" s="1">
        <f t="shared" si="967"/>
        <v>0.68135756995377306</v>
      </c>
      <c r="I1583" s="1">
        <f t="shared" si="967"/>
        <v>0.6813575699537725</v>
      </c>
      <c r="J1583" s="1">
        <f t="shared" si="967"/>
        <v>0.68135756995377361</v>
      </c>
      <c r="K1583" s="1">
        <f t="shared" si="967"/>
        <v>0.68135756995377317</v>
      </c>
    </row>
    <row r="1584" spans="2:11" x14ac:dyDescent="0.35">
      <c r="B1584" t="str">
        <f t="shared" si="947"/>
        <v>SPS3</v>
      </c>
      <c r="C1584" t="str">
        <f t="shared" si="952"/>
        <v>CH</v>
      </c>
      <c r="D1584" t="s">
        <v>1572</v>
      </c>
      <c r="E1584" t="s">
        <v>1577</v>
      </c>
      <c r="F1584" s="1" t="str">
        <f>IFERROR(F1574/F1549,"-")</f>
        <v>-</v>
      </c>
      <c r="G1584" s="1">
        <f t="shared" ref="G1584:K1584" si="968">IFERROR(G1574/G1549,"-")</f>
        <v>0.46510343171505408</v>
      </c>
      <c r="H1584" s="1">
        <f t="shared" si="968"/>
        <v>0.47115516065308205</v>
      </c>
      <c r="I1584" s="1" t="str">
        <f t="shared" si="968"/>
        <v>-</v>
      </c>
      <c r="J1584" s="1">
        <f t="shared" si="968"/>
        <v>0.56166475813111161</v>
      </c>
      <c r="K1584" s="1">
        <f t="shared" si="968"/>
        <v>0.59279298023972449</v>
      </c>
    </row>
    <row r="1585" spans="2:11" x14ac:dyDescent="0.35">
      <c r="B1585" t="str">
        <f t="shared" si="947"/>
        <v>SPS3</v>
      </c>
      <c r="C1585" t="str">
        <f t="shared" si="952"/>
        <v>CH</v>
      </c>
      <c r="D1585" t="s">
        <v>1592</v>
      </c>
      <c r="E1585" t="s">
        <v>1577</v>
      </c>
      <c r="F1585" s="1">
        <f>IFERROR(F1575/F1555,"-")</f>
        <v>0.27758325613681023</v>
      </c>
      <c r="G1585" s="1">
        <f t="shared" ref="G1585:K1585" si="969">IFERROR(G1575/G1555,"-")</f>
        <v>0.2801703405158007</v>
      </c>
      <c r="H1585" s="1">
        <f t="shared" si="969"/>
        <v>0.28405096708428712</v>
      </c>
      <c r="I1585" s="1">
        <f t="shared" si="969"/>
        <v>0.28405096708428723</v>
      </c>
      <c r="J1585" s="1" t="str">
        <f t="shared" si="969"/>
        <v>-</v>
      </c>
      <c r="K1585" s="1" t="str">
        <f t="shared" si="969"/>
        <v>-</v>
      </c>
    </row>
    <row r="1586" spans="2:11" x14ac:dyDescent="0.35">
      <c r="B1586" t="str">
        <f t="shared" si="947"/>
        <v>SPS3</v>
      </c>
      <c r="C1586" t="str">
        <f t="shared" si="952"/>
        <v>CH</v>
      </c>
      <c r="D1586" t="s">
        <v>1593</v>
      </c>
      <c r="E1586" t="s">
        <v>1577</v>
      </c>
      <c r="F1586" s="1">
        <f>IFERROR(F1576/F1556,"-")</f>
        <v>0.35122961215622045</v>
      </c>
      <c r="G1586" s="1">
        <f t="shared" ref="G1586:K1586" si="970">IFERROR(G1576/G1556,"-")</f>
        <v>0.35122961215622117</v>
      </c>
      <c r="H1586" s="1">
        <f t="shared" si="970"/>
        <v>0.35122961215622167</v>
      </c>
      <c r="I1586" s="1">
        <f t="shared" si="970"/>
        <v>0.35122961215622123</v>
      </c>
      <c r="J1586" s="1">
        <f t="shared" si="970"/>
        <v>0.35122961215622039</v>
      </c>
      <c r="K1586" s="1">
        <f t="shared" si="970"/>
        <v>0.35122961215622095</v>
      </c>
    </row>
    <row r="1587" spans="2:11" x14ac:dyDescent="0.35">
      <c r="B1587" t="str">
        <f t="shared" si="947"/>
        <v>SPS3</v>
      </c>
      <c r="C1587" t="str">
        <f t="shared" si="952"/>
        <v>CH</v>
      </c>
      <c r="D1587" t="s">
        <v>1573</v>
      </c>
      <c r="E1587" t="s">
        <v>1577</v>
      </c>
      <c r="F1587" s="1">
        <f>IFERROR(F1577/F1562,"-")</f>
        <v>0.25903663625928702</v>
      </c>
      <c r="G1587" s="1">
        <f t="shared" ref="G1587:K1587" si="971">IFERROR(G1577/G1562,"-")</f>
        <v>0.26793746277611219</v>
      </c>
      <c r="H1587" s="1">
        <f t="shared" si="971"/>
        <v>0.28128870255135008</v>
      </c>
      <c r="I1587" s="1">
        <f t="shared" si="971"/>
        <v>0.28128870255135013</v>
      </c>
      <c r="J1587" s="1" t="str">
        <f t="shared" si="971"/>
        <v>-</v>
      </c>
      <c r="K1587" s="1" t="str">
        <f t="shared" si="971"/>
        <v>-</v>
      </c>
    </row>
    <row r="1588" spans="2:11" x14ac:dyDescent="0.35">
      <c r="B1588" t="str">
        <f t="shared" ref="B1588:B1651" si="972">B1587</f>
        <v>SPS3</v>
      </c>
      <c r="C1588" t="str">
        <f t="shared" si="952"/>
        <v>CH</v>
      </c>
      <c r="D1588" t="s">
        <v>1574</v>
      </c>
      <c r="E1588" t="s">
        <v>1577</v>
      </c>
      <c r="F1588" s="1">
        <f>IFERROR(F1578/F1563,"-")</f>
        <v>0.34211451343153165</v>
      </c>
      <c r="G1588" s="1">
        <f t="shared" ref="G1588:K1588" si="973">IFERROR(G1578/G1563,"-")</f>
        <v>0.34211451343153171</v>
      </c>
      <c r="H1588" s="1">
        <f t="shared" si="973"/>
        <v>0.34211451343153393</v>
      </c>
      <c r="I1588" s="1">
        <f t="shared" si="973"/>
        <v>0.34211451343153249</v>
      </c>
      <c r="J1588" s="1">
        <f t="shared" si="973"/>
        <v>0.3421145134315316</v>
      </c>
      <c r="K1588" s="1">
        <f t="shared" si="973"/>
        <v>0.3421145134315326</v>
      </c>
    </row>
    <row r="1589" spans="2:11" x14ac:dyDescent="0.35">
      <c r="B1589" t="str">
        <f t="shared" si="972"/>
        <v>SPS3</v>
      </c>
      <c r="C1589" t="str">
        <f t="shared" si="952"/>
        <v>CH</v>
      </c>
      <c r="D1589" t="s">
        <v>1575</v>
      </c>
      <c r="E1589" t="s">
        <v>1577</v>
      </c>
      <c r="F1589" s="1" t="str">
        <f>IFERROR(F1579/F1564,"-")</f>
        <v>-</v>
      </c>
      <c r="G1589" s="1">
        <f t="shared" ref="G1589:K1589" si="974">IFERROR(G1579/G1564,"-")</f>
        <v>0.46076759264650824</v>
      </c>
      <c r="H1589" s="1">
        <f t="shared" si="974"/>
        <v>0.46076759264650813</v>
      </c>
      <c r="I1589" s="1">
        <f t="shared" si="974"/>
        <v>0.46076759264650857</v>
      </c>
      <c r="J1589" s="1">
        <f t="shared" si="974"/>
        <v>0.46076759264650802</v>
      </c>
      <c r="K1589" s="1">
        <f t="shared" si="974"/>
        <v>0.46076759264650763</v>
      </c>
    </row>
    <row r="1590" spans="2:11" x14ac:dyDescent="0.35">
      <c r="B1590" t="str">
        <f t="shared" si="972"/>
        <v>SPS3</v>
      </c>
      <c r="C1590" t="str">
        <f t="shared" si="952"/>
        <v>CH</v>
      </c>
      <c r="D1590" t="s">
        <v>1576</v>
      </c>
      <c r="E1590" t="s">
        <v>1577</v>
      </c>
      <c r="F1590" s="1">
        <f>IFERROR(F1580/F1570,"-")</f>
        <v>0.32057692743518029</v>
      </c>
      <c r="G1590" s="1">
        <f t="shared" ref="G1590:K1590" si="975">IFERROR(G1580/G1570,"-")</f>
        <v>0.32057692743517996</v>
      </c>
      <c r="H1590" s="1">
        <f t="shared" si="975"/>
        <v>0.32057692743518001</v>
      </c>
      <c r="I1590" s="1">
        <f t="shared" si="975"/>
        <v>0.32057692743517946</v>
      </c>
      <c r="J1590" s="1">
        <f t="shared" si="975"/>
        <v>0.32057692743517952</v>
      </c>
      <c r="K1590" s="1">
        <f t="shared" si="975"/>
        <v>0.3205769274351799</v>
      </c>
    </row>
    <row r="1591" spans="2:11" x14ac:dyDescent="0.35">
      <c r="B1591" s="2" t="str">
        <f t="shared" si="972"/>
        <v>SPS3</v>
      </c>
      <c r="C1591" s="2" t="str">
        <f>C1590</f>
        <v>CH</v>
      </c>
      <c r="D1591" s="2" t="s">
        <v>1597</v>
      </c>
      <c r="E1591" s="2" t="s">
        <v>8</v>
      </c>
      <c r="F1591" s="3">
        <f>F1592+F1595+F1597+F1604+F1612</f>
        <v>24.501299147104618</v>
      </c>
      <c r="G1591" s="3">
        <f t="shared" ref="G1591" si="976">G1592+G1595+G1597+G1604+G1612</f>
        <v>22.873716582937885</v>
      </c>
      <c r="H1591" s="3">
        <f t="shared" ref="H1591" si="977">H1592+H1595+H1597+H1604+H1612</f>
        <v>20.478176170992722</v>
      </c>
      <c r="I1591" s="3">
        <f t="shared" ref="I1591" si="978">I1592+I1595+I1597+I1604+I1612</f>
        <v>16.556188728982537</v>
      </c>
      <c r="J1591" s="3">
        <f t="shared" ref="J1591" si="979">J1592+J1595+J1597+J1604+J1612</f>
        <v>9.5611150992385916</v>
      </c>
      <c r="K1591" s="3">
        <f t="shared" ref="K1591" si="980">K1592+K1595+K1597+K1604+K1612</f>
        <v>8.1410323212451541</v>
      </c>
    </row>
    <row r="1592" spans="2:11" x14ac:dyDescent="0.35">
      <c r="B1592" t="str">
        <f t="shared" si="972"/>
        <v>SPS3</v>
      </c>
      <c r="C1592" t="str">
        <f t="shared" ref="C1592:C1637" si="981">C1591</f>
        <v>CH</v>
      </c>
      <c r="D1592" t="s">
        <v>1598</v>
      </c>
      <c r="E1592" t="str">
        <f>E1591</f>
        <v>PJ/yr.</v>
      </c>
      <c r="F1592" s="1">
        <f>SUM(F1593:F1594)</f>
        <v>5.5407500977093915E-3</v>
      </c>
      <c r="G1592" s="1">
        <f t="shared" ref="G1592" si="982">SUM(G1593:G1594)</f>
        <v>6.8366453627343492E-3</v>
      </c>
      <c r="H1592" s="1">
        <f t="shared" ref="H1592" si="983">SUM(H1593:H1594)</f>
        <v>9.5651579723352621E-3</v>
      </c>
      <c r="I1592" s="1">
        <f t="shared" ref="I1592" si="984">SUM(I1593:I1594)</f>
        <v>4.6675862118559759E-3</v>
      </c>
      <c r="J1592" s="1">
        <f t="shared" ref="J1592" si="985">SUM(J1593:J1594)</f>
        <v>6.378962341561782</v>
      </c>
      <c r="K1592" s="1">
        <f t="shared" ref="K1592" si="986">SUM(K1593:K1594)</f>
        <v>7.8669259510903933</v>
      </c>
    </row>
    <row r="1593" spans="2:11" x14ac:dyDescent="0.35">
      <c r="B1593" t="str">
        <f t="shared" si="972"/>
        <v>SPS3</v>
      </c>
      <c r="C1593" t="str">
        <f t="shared" si="981"/>
        <v>CH</v>
      </c>
      <c r="D1593" t="s">
        <v>1599</v>
      </c>
      <c r="E1593" t="str">
        <f t="shared" ref="E1593:E1617" si="987">E1592</f>
        <v>PJ/yr.</v>
      </c>
      <c r="F1593" s="1" cm="1">
        <f t="array" ref="F1593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3" s="1" cm="1">
        <f t="array" ref="G1593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3" s="1" cm="1">
        <f t="array" ref="H1593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3" s="1" cm="1">
        <f t="array" ref="I1593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3" s="1" cm="1">
        <f t="array" ref="J1593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3" s="1" cm="1">
        <f t="array" ref="K1593">SUMPRODUCT(("TFHGV-BeVELCExt"=[1]OUT_TransportEnergyCons!$A$3:$A$1000)*1,("Var_Fin"=[1]OUT_TransportEnergyCons!$B$3:$B$1000)*1,ISNUMBER(SEARCH("ELC",[1]OUT_TransportEnergyCons!$C$3:$C$1000))*1,[1]OUT_TransportEnergyCons!I$3:I$1000)</f>
        <v>0</v>
      </c>
    </row>
    <row r="1594" spans="2:11" x14ac:dyDescent="0.35">
      <c r="B1594" t="str">
        <f t="shared" si="972"/>
        <v>SPS3</v>
      </c>
      <c r="C1594" t="str">
        <f t="shared" si="981"/>
        <v>CH</v>
      </c>
      <c r="D1594" t="s">
        <v>1600</v>
      </c>
      <c r="E1594" t="str">
        <f t="shared" si="987"/>
        <v>PJ/yr.</v>
      </c>
      <c r="F1594" s="1" cm="1">
        <f t="array" ref="F1594">SUMPRODUCT(("TFHGV-BEVELC"=[1]OUT_TransportEnergyCons!$A$3:$A$1000)*1,("Var_Fin"=[1]OUT_TransportEnergyCons!$B$3:$B$1000)*1,ISNUMBER(SEARCH("ELC",[1]OUT_TransportEnergyCons!$C$3:$C$1000))*1,[1]OUT_TransportEnergyCons!D$3:D$1000)</f>
        <v>5.5407500977093915E-3</v>
      </c>
      <c r="G1594" s="1" cm="1">
        <f t="array" ref="G1594">SUMPRODUCT(("TFHGV-BEVELC"=[1]OUT_TransportEnergyCons!$A$3:$A$1000)*1,("Var_Fin"=[1]OUT_TransportEnergyCons!$B$3:$B$1000)*1,ISNUMBER(SEARCH("ELC",[1]OUT_TransportEnergyCons!$C$3:$C$1000))*1,[1]OUT_TransportEnergyCons!E$3:E$1000)</f>
        <v>6.8366453627343492E-3</v>
      </c>
      <c r="H1594" s="1" cm="1">
        <f t="array" ref="H1594">SUMPRODUCT(("TFHGV-BEVELC"=[1]OUT_TransportEnergyCons!$A$3:$A$1000)*1,("Var_Fin"=[1]OUT_TransportEnergyCons!$B$3:$B$1000)*1,ISNUMBER(SEARCH("ELC",[1]OUT_TransportEnergyCons!$C$3:$C$1000))*1,[1]OUT_TransportEnergyCons!F$3:F$1000)</f>
        <v>9.5651579723352621E-3</v>
      </c>
      <c r="I1594" s="1" cm="1">
        <f t="array" ref="I1594">SUMPRODUCT(("TFHGV-BEVELC"=[1]OUT_TransportEnergyCons!$A$3:$A$1000)*1,("Var_Fin"=[1]OUT_TransportEnergyCons!$B$3:$B$1000)*1,ISNUMBER(SEARCH("ELC",[1]OUT_TransportEnergyCons!$C$3:$C$1000))*1,[1]OUT_TransportEnergyCons!G$3:G$1000)</f>
        <v>4.6675862118559759E-3</v>
      </c>
      <c r="J1594" s="1" cm="1">
        <f t="array" ref="J1594">SUMPRODUCT(("TFHGV-BEVELC"=[1]OUT_TransportEnergyCons!$A$3:$A$1000)*1,("Var_Fin"=[1]OUT_TransportEnergyCons!$B$3:$B$1000)*1,ISNUMBER(SEARCH("ELC",[1]OUT_TransportEnergyCons!$C$3:$C$1000))*1,[1]OUT_TransportEnergyCons!H$3:H$1000)</f>
        <v>6.378962341561782</v>
      </c>
      <c r="K1594" s="1" cm="1">
        <f t="array" ref="K1594">SUMPRODUCT(("TFHGV-BEVELC"=[1]OUT_TransportEnergyCons!$A$3:$A$1000)*1,("Var_Fin"=[1]OUT_TransportEnergyCons!$B$3:$B$1000)*1,ISNUMBER(SEARCH("ELC",[1]OUT_TransportEnergyCons!$C$3:$C$1000))*1,[1]OUT_TransportEnergyCons!I$3:I$1000)</f>
        <v>7.8669259510903933</v>
      </c>
    </row>
    <row r="1595" spans="2:11" x14ac:dyDescent="0.35">
      <c r="B1595" t="str">
        <f t="shared" si="972"/>
        <v>SPS3</v>
      </c>
      <c r="C1595" t="str">
        <f t="shared" si="981"/>
        <v>CH</v>
      </c>
      <c r="D1595" t="s">
        <v>1601</v>
      </c>
      <c r="E1595" t="str">
        <f t="shared" si="987"/>
        <v>PJ/yr.</v>
      </c>
      <c r="F1595" s="1">
        <f>F1596</f>
        <v>2.9065546439474301E-3</v>
      </c>
      <c r="G1595" s="1">
        <f t="shared" ref="G1595" si="988">G1596</f>
        <v>1.9262797730994566E-3</v>
      </c>
      <c r="H1595" s="1">
        <f t="shared" ref="H1595" si="989">H1596</f>
        <v>1.876853564221047E-3</v>
      </c>
      <c r="I1595" s="1">
        <f t="shared" ref="I1595" si="990">I1596</f>
        <v>0</v>
      </c>
      <c r="J1595" s="1">
        <f t="shared" ref="J1595" si="991">J1596</f>
        <v>2.2574302243160842E-4</v>
      </c>
      <c r="K1595" s="1">
        <f t="shared" ref="K1595" si="992">K1596</f>
        <v>4.4724690922916005E-4</v>
      </c>
    </row>
    <row r="1596" spans="2:11" x14ac:dyDescent="0.35">
      <c r="B1596" t="str">
        <f t="shared" si="972"/>
        <v>SPS3</v>
      </c>
      <c r="C1596" t="str">
        <f t="shared" si="981"/>
        <v>CH</v>
      </c>
      <c r="D1596" t="s">
        <v>1602</v>
      </c>
      <c r="E1596" t="str">
        <f t="shared" si="987"/>
        <v>PJ/yr.</v>
      </c>
      <c r="F1596" s="1" cm="1">
        <f t="array" ref="F1596">SUMPRODUCT(("TFHGV-FCLH2O"=[1]OUT_TransportEnergyCons!$A$3:$A$1000)*1,("Var_Fin"=[1]OUT_TransportEnergyCons!$B$3:$B$1000)*1,ISNUMBER(SEARCH("h2",[1]OUT_TransportEnergyCons!$C$3:$C$1000))*1,[1]OUT_TransportEnergyCons!D$3:D$1000)</f>
        <v>2.9065546439474301E-3</v>
      </c>
      <c r="G1596" s="1" cm="1">
        <f t="array" ref="G1596">SUMPRODUCT(("TFHGV-FCLH2O"=[1]OUT_TransportEnergyCons!$A$3:$A$1000)*1,("Var_Fin"=[1]OUT_TransportEnergyCons!$B$3:$B$1000)*1,ISNUMBER(SEARCH("h2",[1]OUT_TransportEnergyCons!$C$3:$C$1000))*1,[1]OUT_TransportEnergyCons!E$3:E$1000)</f>
        <v>1.9262797730994566E-3</v>
      </c>
      <c r="H1596" s="1" cm="1">
        <f t="array" ref="H1596">SUMPRODUCT(("TFHGV-FCLH2O"=[1]OUT_TransportEnergyCons!$A$3:$A$1000)*1,("Var_Fin"=[1]OUT_TransportEnergyCons!$B$3:$B$1000)*1,ISNUMBER(SEARCH("h2",[1]OUT_TransportEnergyCons!$C$3:$C$1000))*1,[1]OUT_TransportEnergyCons!F$3:F$1000)</f>
        <v>1.876853564221047E-3</v>
      </c>
      <c r="I1596" s="1" cm="1">
        <f t="array" ref="I1596">SUMPRODUCT(("TFHGV-FCLH2O"=[1]OUT_TransportEnergyCons!$A$3:$A$1000)*1,("Var_Fin"=[1]OUT_TransportEnergyCons!$B$3:$B$1000)*1,ISNUMBER(SEARCH("h2",[1]OUT_TransportEnergyCons!$C$3:$C$1000))*1,[1]OUT_TransportEnergyCons!G$3:G$1000)</f>
        <v>0</v>
      </c>
      <c r="J1596" s="1" cm="1">
        <f t="array" ref="J1596">SUMPRODUCT(("TFHGV-FCLH2O"=[1]OUT_TransportEnergyCons!$A$3:$A$1000)*1,("Var_Fin"=[1]OUT_TransportEnergyCons!$B$3:$B$1000)*1,ISNUMBER(SEARCH("h2",[1]OUT_TransportEnergyCons!$C$3:$C$1000))*1,[1]OUT_TransportEnergyCons!H$3:H$1000)</f>
        <v>2.2574302243160842E-4</v>
      </c>
      <c r="K1596" s="1" cm="1">
        <f t="array" ref="K1596">SUMPRODUCT(("TFHGV-FCLH2O"=[1]OUT_TransportEnergyCons!$A$3:$A$1000)*1,("Var_Fin"=[1]OUT_TransportEnergyCons!$B$3:$B$1000)*1,ISNUMBER(SEARCH("h2",[1]OUT_TransportEnergyCons!$C$3:$C$1000))*1,[1]OUT_TransportEnergyCons!I$3:I$1000)</f>
        <v>4.4724690922916005E-4</v>
      </c>
    </row>
    <row r="1597" spans="2:11" x14ac:dyDescent="0.35">
      <c r="B1597" t="str">
        <f t="shared" si="972"/>
        <v>SPS3</v>
      </c>
      <c r="C1597" t="str">
        <f t="shared" si="981"/>
        <v>CH</v>
      </c>
      <c r="D1597" t="s">
        <v>1603</v>
      </c>
      <c r="E1597" t="str">
        <f t="shared" si="987"/>
        <v>PJ/yr.</v>
      </c>
      <c r="F1597" s="1">
        <f>SUM(F1602:F1603)</f>
        <v>0</v>
      </c>
      <c r="G1597" s="1">
        <f t="shared" ref="G1597:K1597" si="993">SUM(G1602:G1603)</f>
        <v>0</v>
      </c>
      <c r="H1597" s="1">
        <f t="shared" si="993"/>
        <v>0</v>
      </c>
      <c r="I1597" s="1">
        <f t="shared" si="993"/>
        <v>0</v>
      </c>
      <c r="J1597" s="1">
        <f t="shared" si="993"/>
        <v>0</v>
      </c>
      <c r="K1597" s="1">
        <f t="shared" si="993"/>
        <v>0</v>
      </c>
    </row>
    <row r="1598" spans="2:11" x14ac:dyDescent="0.35">
      <c r="B1598" t="str">
        <f t="shared" si="972"/>
        <v>SPS3</v>
      </c>
      <c r="C1598" t="str">
        <f t="shared" si="981"/>
        <v>CH</v>
      </c>
      <c r="D1598" t="s">
        <v>1604</v>
      </c>
      <c r="E1598" t="str">
        <f t="shared" si="987"/>
        <v>PJ/yr.</v>
      </c>
      <c r="F1598" s="1">
        <f>F1597-F1599</f>
        <v>0</v>
      </c>
      <c r="G1598" s="1">
        <f t="shared" ref="G1598:K1598" si="994">G1597-G1599</f>
        <v>0</v>
      </c>
      <c r="H1598" s="1">
        <f t="shared" si="994"/>
        <v>0</v>
      </c>
      <c r="I1598" s="1">
        <f t="shared" si="994"/>
        <v>0</v>
      </c>
      <c r="J1598" s="1">
        <f t="shared" si="994"/>
        <v>0</v>
      </c>
      <c r="K1598" s="1">
        <f t="shared" si="994"/>
        <v>0</v>
      </c>
    </row>
    <row r="1599" spans="2:11" x14ac:dyDescent="0.35">
      <c r="B1599" t="str">
        <f t="shared" si="972"/>
        <v>SPS3</v>
      </c>
      <c r="C1599" t="str">
        <f t="shared" si="981"/>
        <v>CH</v>
      </c>
      <c r="D1599" t="s">
        <v>1605</v>
      </c>
      <c r="E1599" t="str">
        <f t="shared" si="987"/>
        <v>PJ/yr.</v>
      </c>
      <c r="F1599" s="1">
        <f>SUM(F1600:F1601)</f>
        <v>0</v>
      </c>
      <c r="G1599" s="1">
        <f t="shared" ref="G1599:K1599" si="995">SUM(G1600:G1601)</f>
        <v>0</v>
      </c>
      <c r="H1599" s="1">
        <f t="shared" si="995"/>
        <v>0</v>
      </c>
      <c r="I1599" s="1">
        <f t="shared" si="995"/>
        <v>0</v>
      </c>
      <c r="J1599" s="1">
        <f t="shared" si="995"/>
        <v>0</v>
      </c>
      <c r="K1599" s="1">
        <f t="shared" si="995"/>
        <v>0</v>
      </c>
    </row>
    <row r="1600" spans="2:11" x14ac:dyDescent="0.35">
      <c r="B1600" t="str">
        <f t="shared" si="972"/>
        <v>SPS3</v>
      </c>
      <c r="C1600" t="str">
        <f t="shared" si="981"/>
        <v>CH</v>
      </c>
      <c r="D1600" t="s">
        <v>1606</v>
      </c>
      <c r="E1600" t="str">
        <f t="shared" si="987"/>
        <v>PJ/yr.</v>
      </c>
      <c r="F1600" s="1">
        <f>[1]Transport!B$25/SUM([1]Transport!B$21,[1]Transport!B$25)*F1597*(F$34+F$598)/(F$34+F$598+F$37)</f>
        <v>0</v>
      </c>
      <c r="G1600" s="1">
        <f>[1]Transport!C$25/SUM([1]Transport!C$21,[1]Transport!C$25)*G1597*(G$34+G$598)/(G$34+G$598+G$37)</f>
        <v>0</v>
      </c>
      <c r="H1600" s="1">
        <f>[1]Transport!D$25/SUM([1]Transport!D$21,[1]Transport!D$25)*H1597*(H$34+H$598)/(H$34+H$598+H$37)</f>
        <v>0</v>
      </c>
      <c r="I1600" s="1">
        <f>[1]Transport!E$25/SUM([1]Transport!E$21,[1]Transport!E$25)*I1597*(I$34+I$598)/(I$34+I$598+I$37)</f>
        <v>0</v>
      </c>
      <c r="J1600" s="1">
        <f>[1]Transport!F$25/SUM([1]Transport!F$21,[1]Transport!F$25)*J1597*(J$34+J$598)/(J$34+J$598+J$37)</f>
        <v>0</v>
      </c>
      <c r="K1600" s="1">
        <f>[1]Transport!G$25/SUM([1]Transport!G$21,[1]Transport!G$25)*K1597*(K$34+K$598)/(K$34+K$598+K$37)</f>
        <v>0</v>
      </c>
    </row>
    <row r="1601" spans="2:11" x14ac:dyDescent="0.35">
      <c r="B1601" t="str">
        <f t="shared" si="972"/>
        <v>SPS3</v>
      </c>
      <c r="C1601" t="str">
        <f t="shared" si="981"/>
        <v>CH</v>
      </c>
      <c r="D1601" t="s">
        <v>1607</v>
      </c>
      <c r="E1601" t="str">
        <f t="shared" si="987"/>
        <v>PJ/yr.</v>
      </c>
      <c r="F1601" s="1">
        <f>(F$37+F$717)/([1]Transport!B$21+[1]Transport!B$25)*F1597</f>
        <v>0</v>
      </c>
      <c r="G1601" s="1">
        <f>(G$37+G$717)/([1]Transport!C$21+[1]Transport!C$25)*G1597</f>
        <v>0</v>
      </c>
      <c r="H1601" s="1">
        <f>(H$37+H$717)/([1]Transport!D$21+[1]Transport!D$25)*H1597</f>
        <v>0</v>
      </c>
      <c r="I1601" s="1">
        <f>(I$37+I$717)/([1]Transport!E$21+[1]Transport!E$25)*I1597</f>
        <v>0</v>
      </c>
      <c r="J1601" s="1">
        <f>(J$37+J$717)/([1]Transport!F$21+[1]Transport!F$25)*J1597</f>
        <v>0</v>
      </c>
      <c r="K1601" s="1">
        <f>(K$37+K$717)/([1]Transport!G$21+[1]Transport!G$25)*K1597</f>
        <v>0</v>
      </c>
    </row>
    <row r="1602" spans="2:11" x14ac:dyDescent="0.35">
      <c r="B1602" t="str">
        <f t="shared" si="972"/>
        <v>SPS3</v>
      </c>
      <c r="C1602" t="str">
        <f t="shared" si="981"/>
        <v>CH</v>
      </c>
      <c r="D1602" t="s">
        <v>1608</v>
      </c>
      <c r="E1602" t="str">
        <f t="shared" si="987"/>
        <v>PJ/yr.</v>
      </c>
      <c r="F1602" s="1" cm="1">
        <f t="array" ref="F1602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2" s="1" cm="1">
        <f t="array" ref="G1602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2" s="1" cm="1">
        <f t="array" ref="H1602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2" s="1" cm="1">
        <f t="array" ref="I1602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2" s="1" cm="1">
        <f t="array" ref="J1602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2" s="1" cm="1">
        <f t="array" ref="K1602">SUMPRODUCT(("TFHGV-ICEGSLExt"=[1]OUT_TransportEnergyCons!$A$3:$A$1000)*1,("Var_Fin"=[1]OUT_TransportEnergyCons!$B$3:$B$1000)*1,ISNUMBER(SEARCH("gsl",[1]OUT_TransportEnergyCons!$C$3:$C$1000))*1,[1]OUT_TransportEnergyCons!I$3:I$1000)</f>
        <v>0</v>
      </c>
    </row>
    <row r="1603" spans="2:11" x14ac:dyDescent="0.35">
      <c r="B1603" t="str">
        <f t="shared" si="972"/>
        <v>SPS3</v>
      </c>
      <c r="C1603" t="str">
        <f t="shared" si="981"/>
        <v>CH</v>
      </c>
      <c r="D1603" t="s">
        <v>1609</v>
      </c>
      <c r="E1603" t="str">
        <f t="shared" si="987"/>
        <v>PJ/yr.</v>
      </c>
      <c r="F1603" s="1" cm="1">
        <f t="array" ref="F1603">SUMPRODUCT(("TFHGV-ICEGSL"=[1]OUT_TransportEnergyCons!$A$3:$A$1000)*1,("Var_Fin"=[1]OUT_TransportEnergyCons!$B$3:$B$1000)*1,ISNUMBER(SEARCH("gsl",[1]OUT_TransportEnergyCons!$C$3:$C$1000))*1,[1]OUT_TransportEnergyCons!D$3:D$1000)</f>
        <v>0</v>
      </c>
      <c r="G1603" s="1" cm="1">
        <f t="array" ref="G1603">SUMPRODUCT(("TFHGV-ICEGSL"=[1]OUT_TransportEnergyCons!$A$3:$A$1000)*1,("Var_Fin"=[1]OUT_TransportEnergyCons!$B$3:$B$1000)*1,ISNUMBER(SEARCH("gsl",[1]OUT_TransportEnergyCons!$C$3:$C$1000))*1,[1]OUT_TransportEnergyCons!E$3:E$1000)</f>
        <v>0</v>
      </c>
      <c r="H1603" s="1" cm="1">
        <f t="array" ref="H1603">SUMPRODUCT(("TFHGV-ICEGSL"=[1]OUT_TransportEnergyCons!$A$3:$A$1000)*1,("Var_Fin"=[1]OUT_TransportEnergyCons!$B$3:$B$1000)*1,ISNUMBER(SEARCH("gsl",[1]OUT_TransportEnergyCons!$C$3:$C$1000))*1,[1]OUT_TransportEnergyCons!F$3:F$1000)</f>
        <v>0</v>
      </c>
      <c r="I1603" s="1" cm="1">
        <f t="array" ref="I1603">SUMPRODUCT(("TFHGV-ICEGSL"=[1]OUT_TransportEnergyCons!$A$3:$A$1000)*1,("Var_Fin"=[1]OUT_TransportEnergyCons!$B$3:$B$1000)*1,ISNUMBER(SEARCH("gsl",[1]OUT_TransportEnergyCons!$C$3:$C$1000))*1,[1]OUT_TransportEnergyCons!G$3:G$1000)</f>
        <v>0</v>
      </c>
      <c r="J1603" s="1" cm="1">
        <f t="array" ref="J1603">SUMPRODUCT(("TFHGV-ICEGSL"=[1]OUT_TransportEnergyCons!$A$3:$A$1000)*1,("Var_Fin"=[1]OUT_TransportEnergyCons!$B$3:$B$1000)*1,ISNUMBER(SEARCH("gsl",[1]OUT_TransportEnergyCons!$C$3:$C$1000))*1,[1]OUT_TransportEnergyCons!H$3:H$1000)</f>
        <v>0</v>
      </c>
      <c r="K1603" s="1" cm="1">
        <f t="array" ref="K1603">SUMPRODUCT(("TFHGV-ICEGSL"=[1]OUT_TransportEnergyCons!$A$3:$A$1000)*1,("Var_Fin"=[1]OUT_TransportEnergyCons!$B$3:$B$1000)*1,ISNUMBER(SEARCH("gsl",[1]OUT_TransportEnergyCons!$C$3:$C$1000))*1,[1]OUT_TransportEnergyCons!I$3:I$1000)</f>
        <v>0</v>
      </c>
    </row>
    <row r="1604" spans="2:11" x14ac:dyDescent="0.35">
      <c r="B1604" t="str">
        <f t="shared" si="972"/>
        <v>SPS3</v>
      </c>
      <c r="C1604" t="str">
        <f t="shared" si="981"/>
        <v>CH</v>
      </c>
      <c r="D1604" t="s">
        <v>1610</v>
      </c>
      <c r="E1604" t="str">
        <f t="shared" si="987"/>
        <v>PJ/yr.</v>
      </c>
      <c r="F1604" s="1">
        <f>SUM(F1609:F1611)</f>
        <v>24.47513466777416</v>
      </c>
      <c r="G1604" s="1">
        <f t="shared" ref="G1604:K1604" si="996">SUM(G1609:G1611)</f>
        <v>22.864181798747577</v>
      </c>
      <c r="H1604" s="1">
        <f t="shared" si="996"/>
        <v>20.465718299619411</v>
      </c>
      <c r="I1604" s="1">
        <f t="shared" si="996"/>
        <v>16.550600568399673</v>
      </c>
      <c r="J1604" s="1">
        <f t="shared" si="996"/>
        <v>3.1812163501742194</v>
      </c>
      <c r="K1604" s="1">
        <f t="shared" si="996"/>
        <v>0.27307356824830842</v>
      </c>
    </row>
    <row r="1605" spans="2:11" x14ac:dyDescent="0.35">
      <c r="B1605" t="str">
        <f t="shared" si="972"/>
        <v>SPS3</v>
      </c>
      <c r="C1605" t="str">
        <f t="shared" si="981"/>
        <v>CH</v>
      </c>
      <c r="D1605" t="s">
        <v>1611</v>
      </c>
      <c r="E1605" t="str">
        <f t="shared" si="987"/>
        <v>PJ/yr.</v>
      </c>
      <c r="F1605" s="1">
        <f>F1604-F1606</f>
        <v>23.876270073487817</v>
      </c>
      <c r="G1605" s="1">
        <f t="shared" ref="G1605:K1605" si="997">G1604-G1606</f>
        <v>22.26832609090301</v>
      </c>
      <c r="H1605" s="1">
        <f t="shared" si="997"/>
        <v>19.651814086849065</v>
      </c>
      <c r="I1605" s="1">
        <f t="shared" si="997"/>
        <v>16.016859750747052</v>
      </c>
      <c r="J1605" s="1">
        <f t="shared" si="997"/>
        <v>0.84284845129995833</v>
      </c>
      <c r="K1605" s="1">
        <f t="shared" si="997"/>
        <v>-0.38119148498068878</v>
      </c>
    </row>
    <row r="1606" spans="2:11" x14ac:dyDescent="0.35">
      <c r="B1606" t="str">
        <f t="shared" si="972"/>
        <v>SPS3</v>
      </c>
      <c r="C1606" t="str">
        <f t="shared" si="981"/>
        <v>CH</v>
      </c>
      <c r="D1606" t="s">
        <v>1612</v>
      </c>
      <c r="E1606" t="str">
        <f t="shared" si="987"/>
        <v>PJ/yr.</v>
      </c>
      <c r="F1606" s="1">
        <f>SUM(F1607:F1608)</f>
        <v>0.59886459428634276</v>
      </c>
      <c r="G1606" s="1">
        <f t="shared" ref="G1606:K1606" si="998">SUM(G1607:G1608)</f>
        <v>0.5958557078445661</v>
      </c>
      <c r="H1606" s="1">
        <f t="shared" si="998"/>
        <v>0.81390421277034797</v>
      </c>
      <c r="I1606" s="1">
        <f t="shared" si="998"/>
        <v>0.53374081765261971</v>
      </c>
      <c r="J1606" s="1">
        <f t="shared" si="998"/>
        <v>2.3383678988742611</v>
      </c>
      <c r="K1606" s="1">
        <f t="shared" si="998"/>
        <v>0.6542650532289972</v>
      </c>
    </row>
    <row r="1607" spans="2:11" x14ac:dyDescent="0.35">
      <c r="B1607" t="str">
        <f t="shared" si="972"/>
        <v>SPS3</v>
      </c>
      <c r="C1607" t="str">
        <f t="shared" si="981"/>
        <v>CH</v>
      </c>
      <c r="D1607" t="s">
        <v>1613</v>
      </c>
      <c r="E1607" t="str">
        <f t="shared" si="987"/>
        <v>PJ/yr.</v>
      </c>
      <c r="F1607" s="1">
        <f>[1]Transport!B$26/SUM([1]Transport!B$22,[1]Transport!B$26)*F1604*(F$33+F$580)/(F$33+F$580+F$36)</f>
        <v>0.59886459428634276</v>
      </c>
      <c r="G1607" s="1">
        <f>[1]Transport!C$26/SUM([1]Transport!C$22,[1]Transport!C$26)*G1604*(G$33+G$580)/(G$33+G$580+G$36)</f>
        <v>0.5958557078445661</v>
      </c>
      <c r="H1607" s="1">
        <f>[1]Transport!D$26/SUM([1]Transport!D$22,[1]Transport!D$26)*H1604*(H$33+H$580)/(H$33+H$580+H$36)</f>
        <v>0.81390421277034797</v>
      </c>
      <c r="I1607" s="1">
        <f>[1]Transport!E$26/SUM([1]Transport!E$22,[1]Transport!E$26)*I1604*(I$33+I$580)/(I$33+I$580+I$36)</f>
        <v>0.53374081765261971</v>
      </c>
      <c r="J1607" s="1">
        <f>[1]Transport!F$26/SUM([1]Transport!F$22,[1]Transport!F$26)*J1604*(J$33+J$580)/(J$33+J$580+J$36)</f>
        <v>3.857786136167405E-2</v>
      </c>
      <c r="K1607" s="1">
        <f>[1]Transport!G$26/SUM([1]Transport!G$22,[1]Transport!G$26)*K1604*(K$33+K$580)/(K$33+K$580+K$36)</f>
        <v>0.10315079876415822</v>
      </c>
    </row>
    <row r="1608" spans="2:11" x14ac:dyDescent="0.35">
      <c r="B1608" t="str">
        <f t="shared" si="972"/>
        <v>SPS3</v>
      </c>
      <c r="C1608" t="str">
        <f t="shared" si="981"/>
        <v>CH</v>
      </c>
      <c r="D1608" t="s">
        <v>1614</v>
      </c>
      <c r="E1608" t="str">
        <f t="shared" si="987"/>
        <v>PJ/yr.</v>
      </c>
      <c r="F1608" s="1">
        <f>(F$36+F$716)/([1]Transport!B$22+[1]Transport!B$26)*F1604</f>
        <v>0</v>
      </c>
      <c r="G1608" s="1">
        <f>(G$36+G$716)/([1]Transport!C$22+[1]Transport!C$26)*G1604</f>
        <v>0</v>
      </c>
      <c r="H1608" s="1">
        <f>(H$36+H$716)/([1]Transport!D$22+[1]Transport!D$26)*H1604</f>
        <v>0</v>
      </c>
      <c r="I1608" s="1">
        <f>(I$36+I$716)/([1]Transport!E$22+[1]Transport!E$26)*I1604</f>
        <v>0</v>
      </c>
      <c r="J1608" s="1">
        <f>(J$36+J$716)/([1]Transport!F$22+[1]Transport!F$26)*J1604</f>
        <v>2.299790037512587</v>
      </c>
      <c r="K1608" s="1">
        <f>(K$36+K$716)/([1]Transport!G$22+[1]Transport!G$26)*K1604</f>
        <v>0.55111425446483897</v>
      </c>
    </row>
    <row r="1609" spans="2:11" x14ac:dyDescent="0.35">
      <c r="B1609" t="str">
        <f t="shared" si="972"/>
        <v>SPS3</v>
      </c>
      <c r="C1609" t="str">
        <f t="shared" si="981"/>
        <v>CH</v>
      </c>
      <c r="D1609" t="s">
        <v>1615</v>
      </c>
      <c r="E1609" t="str">
        <f t="shared" si="987"/>
        <v>PJ/yr.</v>
      </c>
      <c r="F1609" s="1" cm="1">
        <f t="array" ref="F1609">SUMPRODUCT(("TFHGV-ICEdslExt"=[1]OUT_TransportEnergyCons!$A$3:$A$1000)*1,("Var_Fin"=[1]OUT_TransportEnergyCons!$B$3:$B$1000)*1,ISNUMBER(SEARCH("dsl",[1]OUT_TransportEnergyCons!$C$3:$C$1000))*1,[1]OUT_TransportEnergyCons!D$3:D$1000)</f>
        <v>19.20170773052989</v>
      </c>
      <c r="G1609" s="1" cm="1">
        <f t="array" ref="G1609">SUMPRODUCT(("TFHGV-ICEdslExt"=[1]OUT_TransportEnergyCons!$A$3:$A$1000)*1,("Var_Fin"=[1]OUT_TransportEnergyCons!$B$3:$B$1000)*1,ISNUMBER(SEARCH("dsl",[1]OUT_TransportEnergyCons!$C$3:$C$1000))*1,[1]OUT_TransportEnergyCons!E$3:E$1000)</f>
        <v>15.565644891336976</v>
      </c>
      <c r="H1609" s="1" cm="1">
        <f t="array" ref="H1609">SUMPRODUCT(("TFHGV-ICEdslExt"=[1]OUT_TransportEnergyCons!$A$3:$A$1000)*1,("Var_Fin"=[1]OUT_TransportEnergyCons!$B$3:$B$1000)*1,ISNUMBER(SEARCH("dsl",[1]OUT_TransportEnergyCons!$C$3:$C$1000))*1,[1]OUT_TransportEnergyCons!F$3:F$1000)</f>
        <v>11.479520483750404</v>
      </c>
      <c r="I1609" s="1" cm="1">
        <f t="array" ref="I1609">SUMPRODUCT(("TFHGV-ICEdslExt"=[1]OUT_TransportEnergyCons!$A$3:$A$1000)*1,("Var_Fin"=[1]OUT_TransportEnergyCons!$B$3:$B$1000)*1,ISNUMBER(SEARCH("dsl",[1]OUT_TransportEnergyCons!$C$3:$C$1000))*1,[1]OUT_TransportEnergyCons!G$3:G$1000)</f>
        <v>4.9524351176809303</v>
      </c>
      <c r="J1609" s="1" cm="1">
        <f t="array" ref="J1609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09" s="1" cm="1">
        <f t="array" ref="K1609">SUMPRODUCT(("TFHGV-ICEdslExt"=[1]OUT_TransportEnergyCons!$A$3:$A$1000)*1,("Var_Fin"=[1]OUT_TransportEnergyCons!$B$3:$B$1000)*1,ISNUMBER(SEARCH("dsl",[1]OUT_TransportEnergyCons!$C$3:$C$1000))*1,[1]OUT_TransportEnergyCons!I$3:I$1000)</f>
        <v>0</v>
      </c>
    </row>
    <row r="1610" spans="2:11" x14ac:dyDescent="0.35">
      <c r="B1610" t="str">
        <f t="shared" si="972"/>
        <v>SPS3</v>
      </c>
      <c r="C1610" t="str">
        <f t="shared" si="981"/>
        <v>CH</v>
      </c>
      <c r="D1610" t="s">
        <v>1616</v>
      </c>
      <c r="E1610" t="str">
        <f t="shared" si="987"/>
        <v>PJ/yr.</v>
      </c>
      <c r="F1610" s="1" cm="1">
        <f t="array" ref="F1610">SUMPRODUCT(("TFHGV-ICEdsl"=[1]OUT_TransportEnergyCons!$A$3:$A$1000)*1,("Var_Fin"=[1]OUT_TransportEnergyCons!$B$3:$B$1000)*1,ISNUMBER(SEARCH("dsl",[1]OUT_TransportEnergyCons!$C$3:$C$1000))*1,[1]OUT_TransportEnergyCons!D$3:D$1000)</f>
        <v>5.2734269372442695</v>
      </c>
      <c r="G1610" s="1" cm="1">
        <f t="array" ref="G1610">SUMPRODUCT(("TFHGV-ICEdsl"=[1]OUT_TransportEnergyCons!$A$3:$A$1000)*1,("Var_Fin"=[1]OUT_TransportEnergyCons!$B$3:$B$1000)*1,ISNUMBER(SEARCH("dsl",[1]OUT_TransportEnergyCons!$C$3:$C$1000))*1,[1]OUT_TransportEnergyCons!E$3:E$1000)</f>
        <v>6.1751025714876739</v>
      </c>
      <c r="H1610" s="1" cm="1">
        <f t="array" ref="H1610">SUMPRODUCT(("TFHGV-ICEdsl"=[1]OUT_TransportEnergyCons!$A$3:$A$1000)*1,("Var_Fin"=[1]OUT_TransportEnergyCons!$B$3:$B$1000)*1,ISNUMBER(SEARCH("dsl",[1]OUT_TransportEnergyCons!$C$3:$C$1000))*1,[1]OUT_TransportEnergyCons!F$3:F$1000)</f>
        <v>4.8124103936474869</v>
      </c>
      <c r="I1610" s="1" cm="1">
        <f t="array" ref="I1610">SUMPRODUCT(("TFHGV-ICEdsl"=[1]OUT_TransportEnergyCons!$A$3:$A$1000)*1,("Var_Fin"=[1]OUT_TransportEnergyCons!$B$3:$B$1000)*1,ISNUMBER(SEARCH("dsl",[1]OUT_TransportEnergyCons!$C$3:$C$1000))*1,[1]OUT_TransportEnergyCons!G$3:G$1000)</f>
        <v>0.44698638375142552</v>
      </c>
      <c r="J1610" s="1" cm="1">
        <f t="array" ref="J1610">SUMPRODUCT(("TFHGV-ICEdsl"=[1]OUT_TransportEnergyCons!$A$3:$A$1000)*1,("Var_Fin"=[1]OUT_TransportEnergyCons!$B$3:$B$1000)*1,ISNUMBER(SEARCH("dsl",[1]OUT_TransportEnergyCons!$C$3:$C$1000))*1,[1]OUT_TransportEnergyCons!H$3:H$1000)</f>
        <v>2.7447471019338346E-4</v>
      </c>
      <c r="K1610" s="1" cm="1">
        <f t="array" ref="K1610">SUMPRODUCT(("TFHGV-ICEdsl"=[1]OUT_TransportEnergyCons!$A$3:$A$1000)*1,("Var_Fin"=[1]OUT_TransportEnergyCons!$B$3:$B$1000)*1,ISNUMBER(SEARCH("dsl",[1]OUT_TransportEnergyCons!$C$3:$C$1000))*1,[1]OUT_TransportEnergyCons!I$3:I$1000)</f>
        <v>2.842669355376733E-5</v>
      </c>
    </row>
    <row r="1611" spans="2:11" x14ac:dyDescent="0.35">
      <c r="B1611" t="str">
        <f t="shared" si="972"/>
        <v>SPS3</v>
      </c>
      <c r="C1611" t="str">
        <f t="shared" si="981"/>
        <v>CH</v>
      </c>
      <c r="D1611" t="s">
        <v>1617</v>
      </c>
      <c r="E1611" t="str">
        <f t="shared" si="987"/>
        <v>PJ/yr.</v>
      </c>
      <c r="F1611" s="1" cm="1">
        <f t="array" ref="F1611">SUMPRODUCT(("TFHGV-HYBDSL"=[1]OUT_TransportEnergyCons!$A$3:$A$1000)*1,("Var_Fin"=[1]OUT_TransportEnergyCons!$B$3:$B$1000)*1,ISNUMBER(SEARCH("dsl",[1]OUT_TransportEnergyCons!$C$3:$C$1000))*1,[1]OUT_TransportEnergyCons!D$3:D$1000)</f>
        <v>0</v>
      </c>
      <c r="G1611" s="1" cm="1">
        <f t="array" ref="G1611">SUMPRODUCT(("TFHGV-HYBDSL"=[1]OUT_TransportEnergyCons!$A$3:$A$1000)*1,("Var_Fin"=[1]OUT_TransportEnergyCons!$B$3:$B$1000)*1,ISNUMBER(SEARCH("dsl",[1]OUT_TransportEnergyCons!$C$3:$C$1000))*1,[1]OUT_TransportEnergyCons!E$3:E$1000)</f>
        <v>1.123434335922926</v>
      </c>
      <c r="H1611" s="1" cm="1">
        <f t="array" ref="H1611">SUMPRODUCT(("TFHGV-HYBDSL"=[1]OUT_TransportEnergyCons!$A$3:$A$1000)*1,("Var_Fin"=[1]OUT_TransportEnergyCons!$B$3:$B$1000)*1,ISNUMBER(SEARCH("dsl",[1]OUT_TransportEnergyCons!$C$3:$C$1000))*1,[1]OUT_TransportEnergyCons!F$3:F$1000)</f>
        <v>4.1737874222215208</v>
      </c>
      <c r="I1611" s="1" cm="1">
        <f t="array" ref="I1611">SUMPRODUCT(("TFHGV-HYBDSL"=[1]OUT_TransportEnergyCons!$A$3:$A$1000)*1,("Var_Fin"=[1]OUT_TransportEnergyCons!$B$3:$B$1000)*1,ISNUMBER(SEARCH("dsl",[1]OUT_TransportEnergyCons!$C$3:$C$1000))*1,[1]OUT_TransportEnergyCons!G$3:G$1000)</f>
        <v>11.151179066967318</v>
      </c>
      <c r="J1611" s="1" cm="1">
        <f t="array" ref="J1611">SUMPRODUCT(("TFHGV-HYBDSL"=[1]OUT_TransportEnergyCons!$A$3:$A$1000)*1,("Var_Fin"=[1]OUT_TransportEnergyCons!$B$3:$B$1000)*1,ISNUMBER(SEARCH("dsl",[1]OUT_TransportEnergyCons!$C$3:$C$1000))*1,[1]OUT_TransportEnergyCons!H$3:H$1000)</f>
        <v>3.180941875464026</v>
      </c>
      <c r="K1611" s="1" cm="1">
        <f t="array" ref="K1611">SUMPRODUCT(("TFHGV-HYBDSL"=[1]OUT_TransportEnergyCons!$A$3:$A$1000)*1,("Var_Fin"=[1]OUT_TransportEnergyCons!$B$3:$B$1000)*1,ISNUMBER(SEARCH("dsl",[1]OUT_TransportEnergyCons!$C$3:$C$1000))*1,[1]OUT_TransportEnergyCons!I$3:I$1000)</f>
        <v>0.27304514155475468</v>
      </c>
    </row>
    <row r="1612" spans="2:11" x14ac:dyDescent="0.35">
      <c r="B1612" t="str">
        <f t="shared" si="972"/>
        <v>SPS3</v>
      </c>
      <c r="C1612" t="str">
        <f t="shared" si="981"/>
        <v>CH</v>
      </c>
      <c r="D1612" t="s">
        <v>1618</v>
      </c>
      <c r="E1612" t="str">
        <f t="shared" si="987"/>
        <v>PJ/yr.</v>
      </c>
      <c r="F1612" s="1">
        <f>F1617</f>
        <v>1.7717174588798214E-2</v>
      </c>
      <c r="G1612" s="1">
        <f t="shared" ref="G1612:K1612" si="999">G1617</f>
        <v>7.7185905447391091E-4</v>
      </c>
      <c r="H1612" s="1">
        <f t="shared" si="999"/>
        <v>1.0158598367569964E-3</v>
      </c>
      <c r="I1612" s="1">
        <f t="shared" si="999"/>
        <v>9.2057437100840755E-4</v>
      </c>
      <c r="J1612" s="1">
        <f t="shared" si="999"/>
        <v>7.1066448016013774E-4</v>
      </c>
      <c r="K1612" s="1">
        <f t="shared" si="999"/>
        <v>5.8555499722314213E-4</v>
      </c>
    </row>
    <row r="1613" spans="2:11" x14ac:dyDescent="0.35">
      <c r="B1613" t="str">
        <f t="shared" si="972"/>
        <v>SPS3</v>
      </c>
      <c r="C1613" t="str">
        <f t="shared" si="981"/>
        <v>CH</v>
      </c>
      <c r="D1613" t="s">
        <v>1619</v>
      </c>
      <c r="E1613" t="str">
        <f t="shared" si="987"/>
        <v>PJ/yr.</v>
      </c>
      <c r="F1613" s="1">
        <f>F1612-F1614</f>
        <v>1.6343820920785599E-2</v>
      </c>
      <c r="G1613" s="1">
        <f t="shared" ref="G1613:K1613" si="1000">G1612-G1614</f>
        <v>6.942362630118201E-4</v>
      </c>
      <c r="H1613" s="1">
        <f t="shared" si="1000"/>
        <v>9.2938806501957215E-4</v>
      </c>
      <c r="I1613" s="1">
        <f t="shared" si="1000"/>
        <v>8.6889698575142674E-4</v>
      </c>
      <c r="J1613" s="1">
        <f t="shared" si="1000"/>
        <v>-0.1385286495567539</v>
      </c>
      <c r="K1613" s="1">
        <f t="shared" si="1000"/>
        <v>-0.13220484238155217</v>
      </c>
    </row>
    <row r="1614" spans="2:11" x14ac:dyDescent="0.35">
      <c r="B1614" t="str">
        <f t="shared" si="972"/>
        <v>SPS3</v>
      </c>
      <c r="C1614" t="str">
        <f t="shared" si="981"/>
        <v>CH</v>
      </c>
      <c r="D1614" t="s">
        <v>1620</v>
      </c>
      <c r="E1614" t="str">
        <f t="shared" si="987"/>
        <v>PJ/yr.</v>
      </c>
      <c r="F1614" s="1">
        <f>SUM(F1615:F1616)</f>
        <v>1.373353668012615E-3</v>
      </c>
      <c r="G1614" s="1">
        <f t="shared" ref="G1614:K1614" si="1001">SUM(G1615:G1616)</f>
        <v>7.7622791462090795E-5</v>
      </c>
      <c r="H1614" s="1">
        <f t="shared" si="1001"/>
        <v>8.6471771737424202E-5</v>
      </c>
      <c r="I1614" s="1">
        <f t="shared" si="1001"/>
        <v>5.1677385256980845E-5</v>
      </c>
      <c r="J1614" s="1">
        <f t="shared" si="1001"/>
        <v>0.13923931403691403</v>
      </c>
      <c r="K1614" s="1">
        <f t="shared" si="1001"/>
        <v>0.13279039737877532</v>
      </c>
    </row>
    <row r="1615" spans="2:11" x14ac:dyDescent="0.35">
      <c r="B1615" t="str">
        <f t="shared" si="972"/>
        <v>SPS3</v>
      </c>
      <c r="C1615" t="str">
        <f t="shared" si="981"/>
        <v>CH</v>
      </c>
      <c r="D1615" t="s">
        <v>1621</v>
      </c>
      <c r="E1615" t="str">
        <f t="shared" si="987"/>
        <v>PJ/yr.</v>
      </c>
      <c r="F1615" s="1">
        <f>[1]Transport!B$27/SUM([1]Transport!B$24,[1]Transport!B$27)*F1612*(F$45+F$612)/(F$45+F$612+F$47)</f>
        <v>1.373353668012615E-3</v>
      </c>
      <c r="G1615" s="1">
        <f>[1]Transport!C$27/SUM([1]Transport!C$24,[1]Transport!C$27)*G1612*(G$45+G$612)/(G$45+G$612+G$47)</f>
        <v>7.7622791462090795E-5</v>
      </c>
      <c r="H1615" s="1">
        <f>[1]Transport!D$27/SUM([1]Transport!D$24,[1]Transport!D$27)*H1612*(H$45+H$612)/(H$45+H$612+H$47)</f>
        <v>8.6471771737424202E-5</v>
      </c>
      <c r="I1615" s="1">
        <f>[1]Transport!E$27/SUM([1]Transport!E$24,[1]Transport!E$27)*I1612*(I$45+I$612)/(I$45+I$612+I$47)</f>
        <v>5.1677385256980845E-5</v>
      </c>
      <c r="J1615" s="1">
        <f>[1]Transport!F$27/SUM([1]Transport!F$24,[1]Transport!F$27)*J1612*(J$45+J$612)/(J$45+J$612+J$47)</f>
        <v>2.2322904735444209E-4</v>
      </c>
      <c r="K1615" s="1">
        <f>[1]Transport!G$27/SUM([1]Transport!G$24,[1]Transport!G$27)*K1612*(K$45+K$612)/(K$45+K$612+K$47)</f>
        <v>3.1265090452909397E-4</v>
      </c>
    </row>
    <row r="1616" spans="2:11" x14ac:dyDescent="0.35">
      <c r="B1616" t="str">
        <f t="shared" si="972"/>
        <v>SPS3</v>
      </c>
      <c r="C1616" t="str">
        <f t="shared" si="981"/>
        <v>CH</v>
      </c>
      <c r="D1616" t="s">
        <v>1622</v>
      </c>
      <c r="E1616" t="str">
        <f t="shared" si="987"/>
        <v>PJ/yr.</v>
      </c>
      <c r="F1616" s="1">
        <f>(F$47+F$714)/([1]Transport!B$24+[1]Transport!B$27)*F1612</f>
        <v>0</v>
      </c>
      <c r="G1616" s="1">
        <f>(G$47+G$714)/([1]Transport!C$24+[1]Transport!C$27)*G1612</f>
        <v>0</v>
      </c>
      <c r="H1616" s="1">
        <f>(H$47+H$714)/([1]Transport!D$24+[1]Transport!D$27)*H1612</f>
        <v>0</v>
      </c>
      <c r="I1616" s="1">
        <f>(I$47+I$714)/([1]Transport!E$24+[1]Transport!E$27)*I1612</f>
        <v>0</v>
      </c>
      <c r="J1616" s="1">
        <f>(J$47+J$714)/([1]Transport!F$24+[1]Transport!F$27)*J1612</f>
        <v>0.13901608498955959</v>
      </c>
      <c r="K1616" s="1">
        <f>(K$47+K$714)/([1]Transport!G$24+[1]Transport!G$27)*K1612</f>
        <v>0.13247774647424623</v>
      </c>
    </row>
    <row r="1617" spans="2:11" x14ac:dyDescent="0.35">
      <c r="B1617" t="str">
        <f t="shared" si="972"/>
        <v>SPS3</v>
      </c>
      <c r="C1617" t="str">
        <f t="shared" si="981"/>
        <v>CH</v>
      </c>
      <c r="D1617" t="s">
        <v>1623</v>
      </c>
      <c r="E1617" t="str">
        <f t="shared" si="987"/>
        <v>PJ/yr.</v>
      </c>
      <c r="F1617" s="1" cm="1">
        <f t="array" ref="F1617">SUMPRODUCT(("TFHGV-ICENGA"=[1]OUT_TransportEnergyCons!$A$3:$A$1000)*1,("Var_Fin"=[1]OUT_TransportEnergyCons!$B$3:$B$1000)*1,ISNUMBER(SEARCH("nga",[1]OUT_TransportEnergyCons!$C$3:$C$1000))*1,[1]OUT_TransportEnergyCons!D$3:D$1000)</f>
        <v>1.7717174588798214E-2</v>
      </c>
      <c r="G1617" s="1" cm="1">
        <f t="array" ref="G1617">SUMPRODUCT(("TFHGV-ICENGA"=[1]OUT_TransportEnergyCons!$A$3:$A$1000)*1,("Var_Fin"=[1]OUT_TransportEnergyCons!$B$3:$B$1000)*1,ISNUMBER(SEARCH("nga",[1]OUT_TransportEnergyCons!$C$3:$C$1000))*1,[1]OUT_TransportEnergyCons!E$3:E$1000)</f>
        <v>7.7185905447391091E-4</v>
      </c>
      <c r="H1617" s="1" cm="1">
        <f t="array" ref="H1617">SUMPRODUCT(("TFHGV-ICENGA"=[1]OUT_TransportEnergyCons!$A$3:$A$1000)*1,("Var_Fin"=[1]OUT_TransportEnergyCons!$B$3:$B$1000)*1,ISNUMBER(SEARCH("nga",[1]OUT_TransportEnergyCons!$C$3:$C$1000))*1,[1]OUT_TransportEnergyCons!F$3:F$1000)</f>
        <v>1.0158598367569964E-3</v>
      </c>
      <c r="I1617" s="1" cm="1">
        <f t="array" ref="I1617">SUMPRODUCT(("TFHGV-ICENGA"=[1]OUT_TransportEnergyCons!$A$3:$A$1000)*1,("Var_Fin"=[1]OUT_TransportEnergyCons!$B$3:$B$1000)*1,ISNUMBER(SEARCH("nga",[1]OUT_TransportEnergyCons!$C$3:$C$1000))*1,[1]OUT_TransportEnergyCons!G$3:G$1000)</f>
        <v>9.2057437100840755E-4</v>
      </c>
      <c r="J1617" s="1" cm="1">
        <f t="array" ref="J1617">SUMPRODUCT(("TFHGV-ICENGA"=[1]OUT_TransportEnergyCons!$A$3:$A$1000)*1,("Var_Fin"=[1]OUT_TransportEnergyCons!$B$3:$B$1000)*1,ISNUMBER(SEARCH("nga",[1]OUT_TransportEnergyCons!$C$3:$C$1000))*1,[1]OUT_TransportEnergyCons!H$3:H$1000)</f>
        <v>7.1066448016013774E-4</v>
      </c>
      <c r="K1617" s="1" cm="1">
        <f t="array" ref="K1617">SUMPRODUCT(("TFHGV-ICENGA"=[1]OUT_TransportEnergyCons!$A$3:$A$1000)*1,("Var_Fin"=[1]OUT_TransportEnergyCons!$B$3:$B$1000)*1,ISNUMBER(SEARCH("nga",[1]OUT_TransportEnergyCons!$C$3:$C$1000))*1,[1]OUT_TransportEnergyCons!I$3:I$1000)</f>
        <v>5.8555499722314213E-4</v>
      </c>
    </row>
    <row r="1618" spans="2:11" x14ac:dyDescent="0.35">
      <c r="B1618" s="2" t="str">
        <f t="shared" si="972"/>
        <v>SPS3</v>
      </c>
      <c r="C1618" s="2" t="str">
        <f t="shared" si="981"/>
        <v>CH</v>
      </c>
      <c r="D1618" s="2" t="s">
        <v>1624</v>
      </c>
      <c r="E1618" s="2" t="s">
        <v>1518</v>
      </c>
      <c r="F1618" s="3">
        <f>SUM(F1619:F1627)</f>
        <v>2.2034494347582969</v>
      </c>
      <c r="G1618" s="3">
        <f t="shared" ref="G1618" si="1002">SUM(G1619:G1627)</f>
        <v>2.2263732581703035</v>
      </c>
      <c r="H1618" s="3">
        <f t="shared" ref="H1618" si="1003">SUM(H1619:H1627)</f>
        <v>2.2559700258873869</v>
      </c>
      <c r="I1618" s="3">
        <f t="shared" ref="I1618" si="1004">SUM(I1619:I1627)</f>
        <v>2.3084760356468945</v>
      </c>
      <c r="J1618" s="3">
        <f t="shared" ref="J1618" si="1005">SUM(J1619:J1627)</f>
        <v>2.5096977648252938</v>
      </c>
      <c r="K1618" s="3">
        <f t="shared" ref="K1618" si="1006">SUM(K1619:K1627)</f>
        <v>2.7050695968733707</v>
      </c>
    </row>
    <row r="1619" spans="2:11" x14ac:dyDescent="0.35">
      <c r="B1619" t="str">
        <f t="shared" si="972"/>
        <v>SPS3</v>
      </c>
      <c r="C1619" t="str">
        <f t="shared" si="981"/>
        <v>CH</v>
      </c>
      <c r="D1619" t="s">
        <v>1625</v>
      </c>
      <c r="E1619" t="s">
        <v>1518</v>
      </c>
      <c r="F1619" s="1" cm="1">
        <f t="array" ref="F1619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19" s="1" cm="1">
        <f t="array" ref="G1619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19" s="1" cm="1">
        <f t="array" ref="H1619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19" s="1" cm="1">
        <f t="array" ref="I1619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19" s="1" cm="1">
        <f t="array" ref="J1619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19" s="1" cm="1">
        <f t="array" ref="K1619">SUMPRODUCT(("TFHGV-BeVELCExt"=[1]OUT_TransportEnergyCons!$A$3:$A$1000)*1,("var_fout"=[1]OUT_TransportEnergyCons!$B$3:$B$1000)*1,ISNUMBER(SEARCH("TFHGV",[1]OUT_TransportEnergyCons!$C$3:$C$1000))*1,[1]OUT_TransportEnergyCons!I$3:I$1000)</f>
        <v>0</v>
      </c>
    </row>
    <row r="1620" spans="2:11" x14ac:dyDescent="0.35">
      <c r="B1620" t="str">
        <f t="shared" si="972"/>
        <v>SPS3</v>
      </c>
      <c r="C1620" t="str">
        <f t="shared" si="981"/>
        <v>CH</v>
      </c>
      <c r="D1620" t="s">
        <v>1626</v>
      </c>
      <c r="E1620" t="s">
        <v>1518</v>
      </c>
      <c r="F1620" s="1" cm="1">
        <f t="array" ref="F1620">SUMPRODUCT(("TFHGV-BEVELC"=[1]OUT_TransportEnergyCons!$A$3:$A$1000)*1,("var_fout"=[1]OUT_TransportEnergyCons!$B$3:$B$1000)*1,ISNUMBER(SEARCH("TFHGV",[1]OUT_TransportEnergyCons!$C$3:$C$1000))*1,[1]OUT_TransportEnergyCons!D$3:D$1000)</f>
        <v>1.4889533855567154E-3</v>
      </c>
      <c r="G1620" s="1" cm="1">
        <f t="array" ref="G1620">SUMPRODUCT(("TFHGV-BEVELC"=[1]OUT_TransportEnergyCons!$A$3:$A$1000)*1,("var_fout"=[1]OUT_TransportEnergyCons!$B$3:$B$1000)*1,ISNUMBER(SEARCH("TFHGV",[1]OUT_TransportEnergyCons!$C$3:$C$1000))*1,[1]OUT_TransportEnergyCons!E$3:E$1000)</f>
        <v>1.8501792349006785E-3</v>
      </c>
      <c r="H1620" s="1" cm="1">
        <f t="array" ref="H1620">SUMPRODUCT(("TFHGV-BEVELC"=[1]OUT_TransportEnergyCons!$A$3:$A$1000)*1,("var_fout"=[1]OUT_TransportEnergyCons!$B$3:$B$1000)*1,ISNUMBER(SEARCH("TFHGV",[1]OUT_TransportEnergyCons!$C$3:$C$1000))*1,[1]OUT_TransportEnergyCons!F$3:F$1000)</f>
        <v>2.6017990453171985E-3</v>
      </c>
      <c r="I1620" s="1" cm="1">
        <f t="array" ref="I1620">SUMPRODUCT(("TFHGV-BEVELC"=[1]OUT_TransportEnergyCons!$A$3:$A$1000)*1,("var_fout"=[1]OUT_TransportEnergyCons!$B$3:$B$1000)*1,ISNUMBER(SEARCH("TFHGV",[1]OUT_TransportEnergyCons!$C$3:$C$1000))*1,[1]OUT_TransportEnergyCons!G$3:G$1000)</f>
        <v>1.3089389626996832E-3</v>
      </c>
      <c r="J1620" s="1" cm="1">
        <f t="array" ref="J1620">SUMPRODUCT(("TFHGV-BEVELC"=[1]OUT_TransportEnergyCons!$A$3:$A$1000)*1,("var_fout"=[1]OUT_TransportEnergyCons!$B$3:$B$1000)*1,ISNUMBER(SEARCH("TFHGV",[1]OUT_TransportEnergyCons!$C$3:$C$1000))*1,[1]OUT_TransportEnergyCons!H$3:H$1000)</f>
        <v>1.9895571729568486</v>
      </c>
      <c r="K1620" s="1" cm="1">
        <f t="array" ref="K1620">SUMPRODUCT(("TFHGV-BEVELC"=[1]OUT_TransportEnergyCons!$A$3:$A$1000)*1,("var_fout"=[1]OUT_TransportEnergyCons!$B$3:$B$1000)*1,ISNUMBER(SEARCH("TFHGV",[1]OUT_TransportEnergyCons!$C$3:$C$1000))*1,[1]OUT_TransportEnergyCons!I$3:I$1000)</f>
        <v>2.6602596434956967</v>
      </c>
    </row>
    <row r="1621" spans="2:11" x14ac:dyDescent="0.35">
      <c r="B1621" t="str">
        <f t="shared" si="972"/>
        <v>SPS3</v>
      </c>
      <c r="C1621" t="str">
        <f t="shared" si="981"/>
        <v>CH</v>
      </c>
      <c r="D1621" t="s">
        <v>1627</v>
      </c>
      <c r="E1621" t="s">
        <v>1518</v>
      </c>
      <c r="F1621" s="1" cm="1">
        <f t="array" ref="F1621">SUMPRODUCT(("TFHGV-FCLH2O"=[1]OUT_TransportEnergyCons!$A$3:$A$1000)*1,("var_fout"=[1]OUT_TransportEnergyCons!$B$3:$B$1000)*1,ISNUMBER(SEARCH("TFHGV",[1]OUT_TransportEnergyCons!$C$3:$C$1000))*1,[1]OUT_TransportEnergyCons!D$3:D$1000)</f>
        <v>5.0707383549447702E-4</v>
      </c>
      <c r="G1621" s="1" cm="1">
        <f t="array" ref="G1621">SUMPRODUCT(("TFHGV-FCLH2O"=[1]OUT_TransportEnergyCons!$A$3:$A$1000)*1,("var_fout"=[1]OUT_TransportEnergyCons!$B$3:$B$1000)*1,ISNUMBER(SEARCH("TFHGV",[1]OUT_TransportEnergyCons!$C$3:$C$1000))*1,[1]OUT_TransportEnergyCons!E$3:E$1000)</f>
        <v>3.3722826363631993E-4</v>
      </c>
      <c r="H1621" s="1" cm="1">
        <f t="array" ref="H1621">SUMPRODUCT(("TFHGV-FCLH2O"=[1]OUT_TransportEnergyCons!$A$3:$A$1000)*1,("var_fout"=[1]OUT_TransportEnergyCons!$B$3:$B$1000)*1,ISNUMBER(SEARCH("TFHGV",[1]OUT_TransportEnergyCons!$C$3:$C$1000))*1,[1]OUT_TransportEnergyCons!F$3:F$1000)</f>
        <v>3.2888580267588665E-4</v>
      </c>
      <c r="I1621" s="1" cm="1">
        <f t="array" ref="I1621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SUMPRODUCT(("TFHGV-FCLH2O"=[1]OUT_TransportEnergyCons!$A$3:$A$1000)*1,("var_fout"=[1]OUT_TransportEnergyCons!$B$3:$B$1000)*1,ISNUMBER(SEARCH("TFHGV",[1]OUT_TransportEnergyCons!$C$3:$C$1000))*1,[1]OUT_TransportEnergyCons!H$3:H$1000)</f>
        <v>4.5318474592173858E-5</v>
      </c>
      <c r="K1621" s="1" cm="1">
        <f t="array" ref="K1621">SUMPRODUCT(("TFHGV-FCLH2O"=[1]OUT_TransportEnergyCons!$A$3:$A$1000)*1,("var_fout"=[1]OUT_TransportEnergyCons!$B$3:$B$1000)*1,ISNUMBER(SEARCH("TFHGV",[1]OUT_TransportEnergyCons!$C$3:$C$1000))*1,[1]OUT_TransportEnergyCons!I$3:I$1000)</f>
        <v>9.7436268627059921E-5</v>
      </c>
    </row>
    <row r="1622" spans="2:11" x14ac:dyDescent="0.35">
      <c r="B1622" t="str">
        <f t="shared" si="972"/>
        <v>SPS3</v>
      </c>
      <c r="C1622" t="str">
        <f t="shared" si="981"/>
        <v>CH</v>
      </c>
      <c r="D1622" t="s">
        <v>1628</v>
      </c>
      <c r="E1622" t="s">
        <v>1518</v>
      </c>
      <c r="F1622" s="1" cm="1">
        <f t="array" ref="F1622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2" s="1" cm="1">
        <f t="array" ref="G1622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2" s="1" cm="1">
        <f t="array" ref="H1622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2" s="1" cm="1">
        <f t="array" ref="I1622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2" s="1" cm="1">
        <f t="array" ref="J1622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2" s="1" cm="1">
        <f t="array" ref="K1622">SUMPRODUCT(("TFHGV-ICEGSLExt"=[1]OUT_TransportEnergyCons!$A$3:$A$1000)*1,("var_fout"=[1]OUT_TransportEnergyCons!$B$3:$B$1000)*1,ISNUMBER(SEARCH("TFHGV",[1]OUT_TransportEnergyCons!$C$3:$C$1000))*1,[1]OUT_TransportEnergyCons!I$3:I$1000)</f>
        <v>0</v>
      </c>
    </row>
    <row r="1623" spans="2:11" x14ac:dyDescent="0.35">
      <c r="B1623" t="str">
        <f t="shared" si="972"/>
        <v>SPS3</v>
      </c>
      <c r="C1623" t="str">
        <f t="shared" si="981"/>
        <v>CH</v>
      </c>
      <c r="D1623" t="s">
        <v>1629</v>
      </c>
      <c r="E1623" t="s">
        <v>1518</v>
      </c>
      <c r="F1623" s="1" cm="1">
        <f t="array" ref="F1623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3" s="1" cm="1">
        <f t="array" ref="G1623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3" s="1" cm="1">
        <f t="array" ref="H1623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3" s="1" cm="1">
        <f t="array" ref="I1623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3" s="1" cm="1">
        <f t="array" ref="K1623">SUMPRODUCT(("TFHGV-ICEGSL"=[1]OUT_TransportEnergyCons!$A$3:$A$1000)*1,("var_fout"=[1]OUT_TransportEnergyCons!$B$3:$B$1000)*1,ISNUMBER(SEARCH("TFHGV",[1]OUT_TransportEnergyCons!$C$3:$C$1000))*1,[1]OUT_TransportEnergyCons!I$3:I$1000)</f>
        <v>0</v>
      </c>
    </row>
    <row r="1624" spans="2:11" x14ac:dyDescent="0.35">
      <c r="B1624" t="str">
        <f t="shared" si="972"/>
        <v>SPS3</v>
      </c>
      <c r="C1624" t="str">
        <f t="shared" si="981"/>
        <v>CH</v>
      </c>
      <c r="D1624" t="s">
        <v>1630</v>
      </c>
      <c r="E1624" t="s">
        <v>1518</v>
      </c>
      <c r="F1624" s="1" cm="1">
        <f t="array" ref="F1624">SUMPRODUCT(("TFHGV-ICEdslExt"=[1]OUT_TransportEnergyCons!$A$3:$A$1000)*1,("var_fout"=[1]OUT_TransportEnergyCons!$B$3:$B$1000)*1,ISNUMBER(SEARCH("TFHGV",[1]OUT_TransportEnergyCons!$C$3:$C$1000))*1,[1]OUT_TransportEnergyCons!D$3:D$1000)</f>
        <v>1.5736502627064746</v>
      </c>
      <c r="G1624" s="1" cm="1">
        <f t="array" ref="G1624">SUMPRODUCT(("TFHGV-ICEdslExt"=[1]OUT_TransportEnergyCons!$A$3:$A$1000)*1,("var_fout"=[1]OUT_TransportEnergyCons!$B$3:$B$1000)*1,ISNUMBER(SEARCH("TFHGV",[1]OUT_TransportEnergyCons!$C$3:$C$1000))*1,[1]OUT_TransportEnergyCons!E$3:E$1000)</f>
        <v>1.3074551866613175</v>
      </c>
      <c r="H1624" s="1" cm="1">
        <f t="array" ref="H1624">SUMPRODUCT(("TFHGV-ICEdslExt"=[1]OUT_TransportEnergyCons!$A$3:$A$1000)*1,("var_fout"=[1]OUT_TransportEnergyCons!$B$3:$B$1000)*1,ISNUMBER(SEARCH("TFHGV",[1]OUT_TransportEnergyCons!$C$3:$C$1000))*1,[1]OUT_TransportEnergyCons!F$3:F$1000)</f>
        <v>0.99940744053843067</v>
      </c>
      <c r="I1624" s="1" cm="1">
        <f t="array" ref="I1624">SUMPRODUCT(("TFHGV-ICEdslExt"=[1]OUT_TransportEnergyCons!$A$3:$A$1000)*1,("var_fout"=[1]OUT_TransportEnergyCons!$B$3:$B$1000)*1,ISNUMBER(SEARCH("TFHGV",[1]OUT_TransportEnergyCons!$C$3:$C$1000))*1,[1]OUT_TransportEnergyCons!G$3:G$1000)</f>
        <v>0.43115916839909008</v>
      </c>
      <c r="J1624" s="1" cm="1">
        <f t="array" ref="J1624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SUMPRODUCT(("TFHGV-ICEdslExt"=[1]OUT_TransportEnergyCons!$A$3:$A$1000)*1,("var_fout"=[1]OUT_TransportEnergyCons!$B$3:$B$1000)*1,ISNUMBER(SEARCH("TFHGV",[1]OUT_TransportEnergyCons!$C$3:$C$1000))*1,[1]OUT_TransportEnergyCons!I$3:I$1000)</f>
        <v>0</v>
      </c>
    </row>
    <row r="1625" spans="2:11" x14ac:dyDescent="0.35">
      <c r="B1625" t="str">
        <f t="shared" si="972"/>
        <v>SPS3</v>
      </c>
      <c r="C1625" t="str">
        <f t="shared" si="981"/>
        <v>CH</v>
      </c>
      <c r="D1625" t="s">
        <v>1631</v>
      </c>
      <c r="E1625" t="s">
        <v>1518</v>
      </c>
      <c r="F1625" s="1" cm="1">
        <f t="array" ref="F1625">SUMPRODUCT(("TFHGV-ICEdsl"=[1]OUT_TransportEnergyCons!$A$3:$A$1000)*1,("var_fout"=[1]OUT_TransportEnergyCons!$B$3:$B$1000)*1,ISNUMBER(SEARCH("TFHGV",[1]OUT_TransportEnergyCons!$C$3:$C$1000))*1,[1]OUT_TransportEnergyCons!D$3:D$1000)</f>
        <v>0.6259743133384631</v>
      </c>
      <c r="G1625" s="1" cm="1">
        <f t="array" ref="G1625">SUMPRODUCT(("TFHGV-ICEdsl"=[1]OUT_TransportEnergyCons!$A$3:$A$1000)*1,("var_fout"=[1]OUT_TransportEnergyCons!$B$3:$B$1000)*1,ISNUMBER(SEARCH("TFHGV",[1]OUT_TransportEnergyCons!$C$3:$C$1000))*1,[1]OUT_TransportEnergyCons!E$3:E$1000)</f>
        <v>0.7330063804774245</v>
      </c>
      <c r="H1625" s="1" cm="1">
        <f t="array" ref="H1625">SUMPRODUCT(("TFHGV-ICEdsl"=[1]OUT_TransportEnergyCons!$A$3:$A$1000)*1,("var_fout"=[1]OUT_TransportEnergyCons!$B$3:$B$1000)*1,ISNUMBER(SEARCH("TFHGV",[1]OUT_TransportEnergyCons!$C$3:$C$1000))*1,[1]OUT_TransportEnergyCons!F$3:F$1000)</f>
        <v>0.57125002915856826</v>
      </c>
      <c r="I1625" s="1" cm="1">
        <f t="array" ref="I1625">SUMPRODUCT(("TFHGV-ICEdsl"=[1]OUT_TransportEnergyCons!$A$3:$A$1000)*1,("var_fout"=[1]OUT_TransportEnergyCons!$B$3:$B$1000)*1,ISNUMBER(SEARCH("TFHGV",[1]OUT_TransportEnergyCons!$C$3:$C$1000))*1,[1]OUT_TransportEnergyCons!G$3:G$1000)</f>
        <v>5.3058854890792866E-2</v>
      </c>
      <c r="J1625" s="1" cm="1">
        <f t="array" ref="J1625">SUMPRODUCT(("TFHGV-ICEdsl"=[1]OUT_TransportEnergyCons!$A$3:$A$1000)*1,("var_fout"=[1]OUT_TransportEnergyCons!$B$3:$B$1000)*1,ISNUMBER(SEARCH("TFHGV",[1]OUT_TransportEnergyCons!$C$3:$C$1000))*1,[1]OUT_TransportEnergyCons!H$3:H$1000)</f>
        <v>3.2581112867728793E-5</v>
      </c>
      <c r="K1625" s="1" cm="1">
        <f t="array" ref="K1625">SUMPRODUCT(("TFHGV-ICEdsl"=[1]OUT_TransportEnergyCons!$A$3:$A$1000)*1,("var_fout"=[1]OUT_TransportEnergyCons!$B$3:$B$1000)*1,ISNUMBER(SEARCH("TFHGV",[1]OUT_TransportEnergyCons!$C$3:$C$1000))*1,[1]OUT_TransportEnergyCons!I$3:I$1000)</f>
        <v>3.3743484435381625E-6</v>
      </c>
    </row>
    <row r="1626" spans="2:11" x14ac:dyDescent="0.35">
      <c r="B1626" t="str">
        <f t="shared" si="972"/>
        <v>SPS3</v>
      </c>
      <c r="C1626" t="str">
        <f t="shared" si="981"/>
        <v>CH</v>
      </c>
      <c r="D1626" t="s">
        <v>1632</v>
      </c>
      <c r="E1626" t="s">
        <v>1518</v>
      </c>
      <c r="F1626" s="1" cm="1">
        <f t="array" ref="F1626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6" s="1" cm="1">
        <f t="array" ref="G1626">SUMPRODUCT(("TFHGV-HYBDSL"=[1]OUT_TransportEnergyCons!$A$3:$A$1000)*1,("var_fout"=[1]OUT_TransportEnergyCons!$B$3:$B$1000)*1,ISNUMBER(SEARCH("TFHGV",[1]OUT_TransportEnergyCons!$C$3:$C$1000))*1,[1]OUT_TransportEnergyCons!E$3:E$1000)</f>
        <v>0.18364427443073231</v>
      </c>
      <c r="H1626" s="1" cm="1">
        <f t="array" ref="H1626">SUMPRODUCT(("TFHGV-HYBDSL"=[1]OUT_TransportEnergyCons!$A$3:$A$1000)*1,("var_fout"=[1]OUT_TransportEnergyCons!$B$3:$B$1000)*1,ISNUMBER(SEARCH("TFHGV",[1]OUT_TransportEnergyCons!$C$3:$C$1000))*1,[1]OUT_TransportEnergyCons!F$3:F$1000)</f>
        <v>0.68227589123159449</v>
      </c>
      <c r="I1626" s="1" cm="1">
        <f t="array" ref="I1626">SUMPRODUCT(("TFHGV-HYBDSL"=[1]OUT_TransportEnergyCons!$A$3:$A$1000)*1,("var_fout"=[1]OUT_TransportEnergyCons!$B$3:$B$1000)*1,ISNUMBER(SEARCH("TFHGV",[1]OUT_TransportEnergyCons!$C$3:$C$1000))*1,[1]OUT_TransportEnergyCons!G$3:G$1000)</f>
        <v>1.8228481392444114</v>
      </c>
      <c r="J1626" s="1" cm="1">
        <f t="array" ref="J1626">SUMPRODUCT(("TFHGV-HYBDSL"=[1]OUT_TransportEnergyCons!$A$3:$A$1000)*1,("var_fout"=[1]OUT_TransportEnergyCons!$B$3:$B$1000)*1,ISNUMBER(SEARCH("TFHGV",[1]OUT_TransportEnergyCons!$C$3:$C$1000))*1,[1]OUT_TransportEnergyCons!H$3:H$1000)</f>
        <v>0.51997855508486246</v>
      </c>
      <c r="K1626" s="1" cm="1">
        <f t="array" ref="K1626">SUMPRODUCT(("TFHGV-HYBDSL"=[1]OUT_TransportEnergyCons!$A$3:$A$1000)*1,("var_fout"=[1]OUT_TransportEnergyCons!$B$3:$B$1000)*1,ISNUMBER(SEARCH("TFHGV",[1]OUT_TransportEnergyCons!$C$3:$C$1000))*1,[1]OUT_TransportEnergyCons!I$3:I$1000)</f>
        <v>4.4633829770269452E-2</v>
      </c>
    </row>
    <row r="1627" spans="2:11" x14ac:dyDescent="0.35">
      <c r="B1627" t="str">
        <f t="shared" si="972"/>
        <v>SPS3</v>
      </c>
      <c r="C1627" t="str">
        <f t="shared" si="981"/>
        <v>CH</v>
      </c>
      <c r="D1627" t="s">
        <v>1633</v>
      </c>
      <c r="E1627" t="s">
        <v>1518</v>
      </c>
      <c r="F1627" s="1" cm="1">
        <f t="array" ref="F1627">SUMPRODUCT(("TFHGV-ICENGA"=[1]OUT_TransportEnergyCons!$A$3:$A$1000)*1,("var_fout"=[1]OUT_TransportEnergyCons!$B$3:$B$1000)*1,ISNUMBER(SEARCH("TFHGV",[1]OUT_TransportEnergyCons!$C$3:$C$1000))*1,[1]OUT_TransportEnergyCons!D$3:D$1000)</f>
        <v>1.8288314923079684E-3</v>
      </c>
      <c r="G1627" s="1" cm="1">
        <f t="array" ref="G1627">SUMPRODUCT(("TFHGV-ICENGA"=[1]OUT_TransportEnergyCons!$A$3:$A$1000)*1,("var_fout"=[1]OUT_TransportEnergyCons!$B$3:$B$1000)*1,ISNUMBER(SEARCH("TFHGV",[1]OUT_TransportEnergyCons!$C$3:$C$1000))*1,[1]OUT_TransportEnergyCons!E$3:E$1000)</f>
        <v>8.0009102292070009E-5</v>
      </c>
      <c r="H1627" s="1" cm="1">
        <f t="array" ref="H1627">SUMPRODUCT(("TFHGV-ICENGA"=[1]OUT_TransportEnergyCons!$A$3:$A$1000)*1,("var_fout"=[1]OUT_TransportEnergyCons!$B$3:$B$1000)*1,ISNUMBER(SEARCH("TFHGV",[1]OUT_TransportEnergyCons!$C$3:$C$1000))*1,[1]OUT_TransportEnergyCons!F$3:F$1000)</f>
        <v>1.0598011080020122E-4</v>
      </c>
      <c r="I1627" s="1" cm="1">
        <f t="array" ref="I1627">SUMPRODUCT(("TFHGV-ICENGA"=[1]OUT_TransportEnergyCons!$A$3:$A$1000)*1,("var_fout"=[1]OUT_TransportEnergyCons!$B$3:$B$1000)*1,ISNUMBER(SEARCH("TFHGV",[1]OUT_TransportEnergyCons!$C$3:$C$1000))*1,[1]OUT_TransportEnergyCons!G$3:G$1000)</f>
        <v>1.0093414990060843E-4</v>
      </c>
      <c r="J1627" s="1" cm="1">
        <f t="array" ref="J1627">SUMPRODUCT(("TFHGV-ICENGA"=[1]OUT_TransportEnergyCons!$A$3:$A$1000)*1,("var_fout"=[1]OUT_TransportEnergyCons!$B$3:$B$1000)*1,ISNUMBER(SEARCH("TFHGV",[1]OUT_TransportEnergyCons!$C$3:$C$1000))*1,[1]OUT_TransportEnergyCons!H$3:H$1000)</f>
        <v>8.4137196123196538E-5</v>
      </c>
      <c r="K1627" s="1" cm="1">
        <f t="array" ref="K1627">SUMPRODUCT(("TFHGV-ICENGA"=[1]OUT_TransportEnergyCons!$A$3:$A$1000)*1,("var_fout"=[1]OUT_TransportEnergyCons!$B$3:$B$1000)*1,ISNUMBER(SEARCH("TFHGV",[1]OUT_TransportEnergyCons!$C$3:$C$1000))*1,[1]OUT_TransportEnergyCons!I$3:I$1000)</f>
        <v>7.5312990333771288E-5</v>
      </c>
    </row>
    <row r="1628" spans="2:11" x14ac:dyDescent="0.35">
      <c r="B1628" s="2" t="str">
        <f t="shared" si="972"/>
        <v>SPS3</v>
      </c>
      <c r="C1628" s="2" t="str">
        <f t="shared" si="981"/>
        <v>CH</v>
      </c>
      <c r="D1628" s="2" t="s">
        <v>1634</v>
      </c>
      <c r="E1628" s="2" t="s">
        <v>1230</v>
      </c>
      <c r="F1628" s="24" t="s">
        <v>292</v>
      </c>
      <c r="G1628" s="24" t="s">
        <v>292</v>
      </c>
      <c r="H1628" s="24" t="s">
        <v>292</v>
      </c>
      <c r="I1628" s="24" t="s">
        <v>292</v>
      </c>
      <c r="J1628" s="24" t="s">
        <v>292</v>
      </c>
      <c r="K1628" s="24" t="s">
        <v>292</v>
      </c>
    </row>
    <row r="1629" spans="2:11" x14ac:dyDescent="0.35">
      <c r="B1629" t="str">
        <f t="shared" si="972"/>
        <v>SPS3</v>
      </c>
      <c r="C1629" t="str">
        <f t="shared" si="981"/>
        <v>CH</v>
      </c>
      <c r="D1629" t="s">
        <v>1635</v>
      </c>
      <c r="E1629" t="str">
        <f>E1628</f>
        <v>km/MJ</v>
      </c>
      <c r="F1629" s="1" t="str">
        <f>IFERROR(F1619/F1593,"-")</f>
        <v>-</v>
      </c>
      <c r="G1629" s="1" t="str">
        <f t="shared" ref="G1629:K1629" si="1007">IFERROR(G1619/G1593,"-")</f>
        <v>-</v>
      </c>
      <c r="H1629" s="1" t="str">
        <f t="shared" si="1007"/>
        <v>-</v>
      </c>
      <c r="I1629" s="1" t="str">
        <f t="shared" si="1007"/>
        <v>-</v>
      </c>
      <c r="J1629" s="1" t="str">
        <f t="shared" si="1007"/>
        <v>-</v>
      </c>
      <c r="K1629" s="1" t="str">
        <f t="shared" si="1007"/>
        <v>-</v>
      </c>
    </row>
    <row r="1630" spans="2:11" x14ac:dyDescent="0.35">
      <c r="B1630" t="str">
        <f t="shared" si="972"/>
        <v>SPS3</v>
      </c>
      <c r="C1630" t="str">
        <f t="shared" si="981"/>
        <v>CH</v>
      </c>
      <c r="D1630" t="s">
        <v>1636</v>
      </c>
      <c r="E1630" t="str">
        <f t="shared" ref="E1630:E1637" si="1008">E1629</f>
        <v>km/MJ</v>
      </c>
      <c r="F1630" s="1">
        <f>IFERROR(F1620/F1594,"-")</f>
        <v>0.26872776416540883</v>
      </c>
      <c r="G1630" s="1">
        <f t="shared" ref="G1630:K1630" si="1009">IFERROR(G1620/G1594,"-")</f>
        <v>0.27062676747659914</v>
      </c>
      <c r="H1630" s="1">
        <f t="shared" si="1009"/>
        <v>0.27200795353743529</v>
      </c>
      <c r="I1630" s="1">
        <f t="shared" si="1009"/>
        <v>0.28043166280997489</v>
      </c>
      <c r="J1630" s="1">
        <f t="shared" si="1009"/>
        <v>0.31189354418884041</v>
      </c>
      <c r="K1630" s="1">
        <f t="shared" si="1009"/>
        <v>0.33815745311889861</v>
      </c>
    </row>
    <row r="1631" spans="2:11" x14ac:dyDescent="0.35">
      <c r="B1631" t="str">
        <f t="shared" si="972"/>
        <v>SPS3</v>
      </c>
      <c r="C1631" t="str">
        <f t="shared" si="981"/>
        <v>CH</v>
      </c>
      <c r="D1631" t="s">
        <v>1637</v>
      </c>
      <c r="E1631" t="str">
        <f t="shared" si="1008"/>
        <v>km/MJ</v>
      </c>
      <c r="F1631" s="1">
        <f>IFERROR(F1621/F1596,"-")</f>
        <v>0.17445873125089895</v>
      </c>
      <c r="G1631" s="1">
        <f t="shared" ref="G1631:K1631" si="1010">IFERROR(G1621/G1596,"-")</f>
        <v>0.17506712594178725</v>
      </c>
      <c r="H1631" s="1">
        <f t="shared" si="1010"/>
        <v>0.17523253222602081</v>
      </c>
      <c r="I1631" s="1" t="str">
        <f t="shared" si="1010"/>
        <v>-</v>
      </c>
      <c r="J1631" s="1">
        <f t="shared" si="1010"/>
        <v>0.20075249327320244</v>
      </c>
      <c r="K1631" s="1">
        <f t="shared" si="1010"/>
        <v>0.21785789150559695</v>
      </c>
    </row>
    <row r="1632" spans="2:11" x14ac:dyDescent="0.35">
      <c r="B1632" t="str">
        <f t="shared" si="972"/>
        <v>SPS3</v>
      </c>
      <c r="C1632" t="str">
        <f t="shared" si="981"/>
        <v>CH</v>
      </c>
      <c r="D1632" t="s">
        <v>1638</v>
      </c>
      <c r="E1632" t="str">
        <f t="shared" si="1008"/>
        <v>km/MJ</v>
      </c>
      <c r="F1632" s="1" t="str">
        <f>IFERROR(F1622/F1602,"-")</f>
        <v>-</v>
      </c>
      <c r="G1632" s="1" t="str">
        <f t="shared" ref="G1632:K1632" si="1011">IFERROR(G1622/G1602,"-")</f>
        <v>-</v>
      </c>
      <c r="H1632" s="1" t="str">
        <f t="shared" si="1011"/>
        <v>-</v>
      </c>
      <c r="I1632" s="1" t="str">
        <f t="shared" si="1011"/>
        <v>-</v>
      </c>
      <c r="J1632" s="1" t="str">
        <f t="shared" si="1011"/>
        <v>-</v>
      </c>
      <c r="K1632" s="1" t="str">
        <f t="shared" si="1011"/>
        <v>-</v>
      </c>
    </row>
    <row r="1633" spans="2:11" x14ac:dyDescent="0.35">
      <c r="B1633" t="str">
        <f t="shared" si="972"/>
        <v>SPS3</v>
      </c>
      <c r="C1633" t="str">
        <f t="shared" si="981"/>
        <v>CH</v>
      </c>
      <c r="D1633" t="s">
        <v>1639</v>
      </c>
      <c r="E1633" t="str">
        <f t="shared" si="1008"/>
        <v>km/MJ</v>
      </c>
      <c r="F1633" s="1" t="str">
        <f>IFERROR(F1623/F1603,"-")</f>
        <v>-</v>
      </c>
      <c r="G1633" s="1" t="str">
        <f t="shared" ref="G1633:K1633" si="1012">IFERROR(G1623/G1603,"-")</f>
        <v>-</v>
      </c>
      <c r="H1633" s="1" t="str">
        <f t="shared" si="1012"/>
        <v>-</v>
      </c>
      <c r="I1633" s="1" t="str">
        <f t="shared" si="1012"/>
        <v>-</v>
      </c>
      <c r="J1633" s="1" t="str">
        <f t="shared" si="1012"/>
        <v>-</v>
      </c>
      <c r="K1633" s="1" t="str">
        <f t="shared" si="1012"/>
        <v>-</v>
      </c>
    </row>
    <row r="1634" spans="2:11" x14ac:dyDescent="0.35">
      <c r="B1634" t="str">
        <f t="shared" si="972"/>
        <v>SPS3</v>
      </c>
      <c r="C1634" t="str">
        <f t="shared" si="981"/>
        <v>CH</v>
      </c>
      <c r="D1634" t="s">
        <v>1640</v>
      </c>
      <c r="E1634" t="str">
        <f t="shared" si="1008"/>
        <v>km/MJ</v>
      </c>
      <c r="F1634" s="1">
        <f>IFERROR(F1624/F1609,"-")</f>
        <v>8.1953661871669789E-2</v>
      </c>
      <c r="G1634" s="1">
        <f t="shared" ref="G1634:K1634" si="1013">IFERROR(G1624/G1609,"-")</f>
        <v>8.3996210615660302E-2</v>
      </c>
      <c r="H1634" s="1">
        <f t="shared" si="1013"/>
        <v>8.7060033731645933E-2</v>
      </c>
      <c r="I1634" s="1">
        <f t="shared" si="1013"/>
        <v>8.7060033731646017E-2</v>
      </c>
      <c r="J1634" s="1" t="str">
        <f t="shared" si="1013"/>
        <v>-</v>
      </c>
      <c r="K1634" s="1" t="str">
        <f t="shared" si="1013"/>
        <v>-</v>
      </c>
    </row>
    <row r="1635" spans="2:11" x14ac:dyDescent="0.35">
      <c r="B1635" t="str">
        <f t="shared" si="972"/>
        <v>SPS3</v>
      </c>
      <c r="C1635" t="str">
        <f t="shared" si="981"/>
        <v>CH</v>
      </c>
      <c r="D1635" t="s">
        <v>1641</v>
      </c>
      <c r="E1635" t="str">
        <f t="shared" si="1008"/>
        <v>km/MJ</v>
      </c>
      <c r="F1635" s="1">
        <f>IFERROR(F1625/F1610,"-")</f>
        <v>0.11870351496053494</v>
      </c>
      <c r="G1635" s="1">
        <f t="shared" ref="G1635:K1635" si="1014">IFERROR(G1625/G1610,"-")</f>
        <v>0.11870351496053488</v>
      </c>
      <c r="H1635" s="1">
        <f t="shared" si="1014"/>
        <v>0.11870351496053493</v>
      </c>
      <c r="I1635" s="1">
        <f t="shared" si="1014"/>
        <v>0.1187035149605352</v>
      </c>
      <c r="J1635" s="1">
        <f t="shared" si="1014"/>
        <v>0.11870351496053497</v>
      </c>
      <c r="K1635" s="1">
        <f t="shared" si="1014"/>
        <v>0.11870351496053494</v>
      </c>
    </row>
    <row r="1636" spans="2:11" x14ac:dyDescent="0.35">
      <c r="B1636" t="str">
        <f t="shared" si="972"/>
        <v>SPS3</v>
      </c>
      <c r="C1636" t="str">
        <f t="shared" si="981"/>
        <v>CH</v>
      </c>
      <c r="D1636" t="s">
        <v>1642</v>
      </c>
      <c r="E1636" t="str">
        <f t="shared" si="1008"/>
        <v>km/MJ</v>
      </c>
      <c r="F1636" s="1" t="str">
        <f>IFERROR(F1626/F1611,"-")</f>
        <v>-</v>
      </c>
      <c r="G1636" s="1">
        <f t="shared" ref="G1636:K1636" si="1015">IFERROR(G1626/G1611,"-")</f>
        <v>0.16346685209675785</v>
      </c>
      <c r="H1636" s="1">
        <f t="shared" si="1015"/>
        <v>0.16346685209675807</v>
      </c>
      <c r="I1636" s="1">
        <f t="shared" si="1015"/>
        <v>0.1634668520967581</v>
      </c>
      <c r="J1636" s="1">
        <f t="shared" si="1015"/>
        <v>0.16346685209675815</v>
      </c>
      <c r="K1636" s="1">
        <f t="shared" si="1015"/>
        <v>0.16346685209675807</v>
      </c>
    </row>
    <row r="1637" spans="2:11" x14ac:dyDescent="0.35">
      <c r="B1637" t="str">
        <f t="shared" si="972"/>
        <v>SPS3</v>
      </c>
      <c r="C1637" t="str">
        <f t="shared" si="981"/>
        <v>CH</v>
      </c>
      <c r="D1637" t="s">
        <v>1643</v>
      </c>
      <c r="E1637" t="str">
        <f t="shared" si="1008"/>
        <v>km/MJ</v>
      </c>
      <c r="F1637" s="1">
        <f>IFERROR(F1627/F1617,"-")</f>
        <v>0.10322365358775985</v>
      </c>
      <c r="G1637" s="1">
        <f t="shared" ref="G1637:K1637" si="1016">IFERROR(G1627/G1617,"-")</f>
        <v>0.10365765851720581</v>
      </c>
      <c r="H1637" s="1">
        <f t="shared" si="1016"/>
        <v>0.10432552500404906</v>
      </c>
      <c r="I1637" s="1">
        <f t="shared" si="1016"/>
        <v>0.10964258084878467</v>
      </c>
      <c r="J1637" s="1">
        <f t="shared" si="1016"/>
        <v>0.118392291259917</v>
      </c>
      <c r="K1637" s="1">
        <f t="shared" si="1016"/>
        <v>0.1286181326962037</v>
      </c>
    </row>
    <row r="1638" spans="2:11" x14ac:dyDescent="0.35">
      <c r="B1638" s="2" t="str">
        <f t="shared" si="972"/>
        <v>SPS3</v>
      </c>
      <c r="C1638" s="2" t="str">
        <f>C1637</f>
        <v>CH</v>
      </c>
      <c r="D1638" s="2" t="s">
        <v>1652</v>
      </c>
      <c r="E1638" s="2" t="s">
        <v>8</v>
      </c>
      <c r="F1638" s="1">
        <f>F1639+F1643+F1647+F1653</f>
        <v>28.74332051065063</v>
      </c>
      <c r="G1638" s="1">
        <f t="shared" ref="G1638:K1638" si="1017">G1639+G1643+G1647+G1653</f>
        <v>28.065680130694226</v>
      </c>
      <c r="H1638" s="1">
        <f t="shared" si="1017"/>
        <v>27.182821150631884</v>
      </c>
      <c r="I1638" s="1">
        <f t="shared" si="1017"/>
        <v>26.950240298735068</v>
      </c>
      <c r="J1638" s="1">
        <f t="shared" si="1017"/>
        <v>28.078802885132699</v>
      </c>
      <c r="K1638" s="1">
        <f t="shared" si="1017"/>
        <v>28.983043196794139</v>
      </c>
    </row>
    <row r="1639" spans="2:11" x14ac:dyDescent="0.35">
      <c r="B1639" t="str">
        <f t="shared" si="972"/>
        <v>SPS3</v>
      </c>
      <c r="C1639" t="str">
        <f t="shared" ref="C1639:C1682" si="1018">C1638</f>
        <v>CH</v>
      </c>
      <c r="D1639" t="s">
        <v>1653</v>
      </c>
      <c r="E1639" t="s">
        <v>8</v>
      </c>
      <c r="F1639" s="1">
        <f>SUM(F1640:F1642)</f>
        <v>9.2070303197912224</v>
      </c>
      <c r="G1639" s="1">
        <f t="shared" ref="G1639:K1639" si="1019">SUM(G1640:G1642)</f>
        <v>9.4675505944525149</v>
      </c>
      <c r="H1639" s="1">
        <f t="shared" si="1019"/>
        <v>9.9538900845103147</v>
      </c>
      <c r="I1639" s="1">
        <f t="shared" si="1019"/>
        <v>10.605981903099147</v>
      </c>
      <c r="J1639" s="1">
        <f t="shared" si="1019"/>
        <v>11.737946354218465</v>
      </c>
      <c r="K1639" s="1">
        <f t="shared" si="1019"/>
        <v>12.633264199359264</v>
      </c>
    </row>
    <row r="1640" spans="2:11" x14ac:dyDescent="0.35">
      <c r="B1640" t="str">
        <f t="shared" si="972"/>
        <v>SPS3</v>
      </c>
      <c r="C1640" t="str">
        <f t="shared" si="1018"/>
        <v>CH</v>
      </c>
      <c r="D1640" t="s">
        <v>1654</v>
      </c>
      <c r="E1640" t="str">
        <f t="shared" ref="E1640:E1642" si="1020">E1639</f>
        <v>PJ/yr.</v>
      </c>
      <c r="F1640" s="1" cm="1">
        <f t="array" ref="F1640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0" s="1" cm="1">
        <f t="array" ref="G1640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0" s="1" cm="1">
        <f t="array" ref="H1640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0" s="1" cm="1">
        <f t="array" ref="I1640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0" s="1" cm="1">
        <f t="array" ref="J1640">SUMPRODUCT(("TPRLPELCEXT"=[1]OUT_TransportEnergyCons!$A$3:$A$1000)*1,("Var_Fin"=[1]OUT_TransportEnergyCons!$B$3:$B$1000)*1,ISNUMBER(SEARCH("ELC",[1]OUT_TransportEnergyCons!$C$3:$C$1000))*1,[1]OUT_TransportEnergyCons!H$3:H$1000)</f>
        <v>9.7093219886090889</v>
      </c>
      <c r="K1640" s="1" cm="1">
        <f t="array" ref="K1640">SUMPRODUCT(("TPRLPELCEXT"=[1]OUT_TransportEnergyCons!$A$3:$A$1000)*1,("Var_Fin"=[1]OUT_TransportEnergyCons!$B$3:$B$1000)*1,ISNUMBER(SEARCH("ELC",[1]OUT_TransportEnergyCons!$C$3:$C$1000))*1,[1]OUT_TransportEnergyCons!I$3:I$1000)</f>
        <v>10.452588275482805</v>
      </c>
    </row>
    <row r="1641" spans="2:11" x14ac:dyDescent="0.35">
      <c r="B1641" t="str">
        <f t="shared" si="972"/>
        <v>SPS3</v>
      </c>
      <c r="C1641" t="str">
        <f t="shared" si="1018"/>
        <v>CH</v>
      </c>
      <c r="D1641" t="s">
        <v>1655</v>
      </c>
      <c r="E1641" t="str">
        <f t="shared" si="1020"/>
        <v>PJ/yr.</v>
      </c>
      <c r="F1641" s="1" cm="1">
        <f t="array" ref="F1641">SUMPRODUCT(("TFRLFELCEXT"=[1]OUT_TransportEnergyCons!$A$3:$A$1000)*1,("Var_Fin"=[1]OUT_TransportEnergyCons!$B$3:$B$1000)*1,ISNUMBER(SEARCH("ELC",[1]OUT_TransportEnergyCons!$C$3:$C$1000))*1,[1]OUT_TransportEnergyCons!D$3:D$1000)</f>
        <v>1.5023103066902754</v>
      </c>
      <c r="G1641" s="1" cm="1">
        <f t="array" ref="G1641">SUMPRODUCT(("TFRLFELCEXT"=[1]OUT_TransportEnergyCons!$A$3:$A$1000)*1,("Var_Fin"=[1]OUT_TransportEnergyCons!$B$3:$B$1000)*1,ISNUMBER(SEARCH("ELC",[1]OUT_TransportEnergyCons!$C$3:$C$1000))*1,[1]OUT_TransportEnergyCons!E$3:E$1000)</f>
        <v>1.5616445232315328</v>
      </c>
      <c r="H1641" s="1" cm="1">
        <f t="array" ref="H1641">SUMPRODUCT(("TFRLFELCEXT"=[1]OUT_TransportEnergyCons!$A$3:$A$1000)*1,("Var_Fin"=[1]OUT_TransportEnergyCons!$B$3:$B$1000)*1,ISNUMBER(SEARCH("ELC",[1]OUT_TransportEnergyCons!$C$3:$C$1000))*1,[1]OUT_TransportEnergyCons!F$3:F$1000)</f>
        <v>1.7459614405641017</v>
      </c>
      <c r="I1641" s="1" cm="1">
        <f t="array" ref="I1641">SUMPRODUCT(("TFRLFELCEXT"=[1]OUT_TransportEnergyCons!$A$3:$A$1000)*1,("Var_Fin"=[1]OUT_TransportEnergyCons!$B$3:$B$1000)*1,ISNUMBER(SEARCH("ELC",[1]OUT_TransportEnergyCons!$C$3:$C$1000))*1,[1]OUT_TransportEnergyCons!G$3:G$1000)</f>
        <v>1.8941075044292328</v>
      </c>
      <c r="J1641" s="1" cm="1">
        <f t="array" ref="J1641">SUMPRODUCT(("TFRLFELCEXT"=[1]OUT_TransportEnergyCons!$A$3:$A$1000)*1,("Var_Fin"=[1]OUT_TransportEnergyCons!$B$3:$B$1000)*1,ISNUMBER(SEARCH("ELC",[1]OUT_TransportEnergyCons!$C$3:$C$1000))*1,[1]OUT_TransportEnergyCons!H$3:H$1000)</f>
        <v>2.0283285183206732</v>
      </c>
      <c r="K1641" s="1" cm="1">
        <f t="array" ref="K1641">SUMPRODUCT(("TFRLFELCEXT"=[1]OUT_TransportEnergyCons!$A$3:$A$1000)*1,("Var_Fin"=[1]OUT_TransportEnergyCons!$B$3:$B$1000)*1,ISNUMBER(SEARCH("ELC",[1]OUT_TransportEnergyCons!$C$3:$C$1000))*1,[1]OUT_TransportEnergyCons!I$3:I$1000)</f>
        <v>2.1805527500440776</v>
      </c>
    </row>
    <row r="1642" spans="2:11" x14ac:dyDescent="0.35">
      <c r="B1642" t="str">
        <f t="shared" si="972"/>
        <v>SPS3</v>
      </c>
      <c r="C1642" t="str">
        <f t="shared" si="1018"/>
        <v>CH</v>
      </c>
      <c r="D1642" t="s">
        <v>1656</v>
      </c>
      <c r="E1642" t="str">
        <f t="shared" si="1020"/>
        <v>PJ/yr.</v>
      </c>
      <c r="F1642" s="1" cm="1">
        <f t="array" ref="F1642">SUMPRODUCT(("TPSHPELCEXT"=[1]OUT_TransportEnergyCons!$A$3:$A$1000)*1,("Var_Fin"=[1]OUT_TransportEnergyCons!$B$3:$B$1000)*1,ISNUMBER(SEARCH("ELC",[1]OUT_TransportEnergyCons!$C$3:$C$1000))*1,[1]OUT_TransportEnergyCons!D$3:D$1000)</f>
        <v>0</v>
      </c>
      <c r="G1642" s="1" cm="1">
        <f t="array" ref="G1642">SUMPRODUCT(("TPSHPELCEXT"=[1]OUT_TransportEnergyCons!$A$3:$A$1000)*1,("Var_Fin"=[1]OUT_TransportEnergyCons!$B$3:$B$1000)*1,ISNUMBER(SEARCH("ELC",[1]OUT_TransportEnergyCons!$C$3:$C$1000))*1,[1]OUT_TransportEnergyCons!E$3:E$1000)</f>
        <v>6.3437005786319119E-7</v>
      </c>
      <c r="H1642" s="1" cm="1">
        <f t="array" ref="H1642">SUMPRODUCT(("TPSHPELCEXT"=[1]OUT_TransportEnergyCons!$A$3:$A$1000)*1,("Var_Fin"=[1]OUT_TransportEnergyCons!$B$3:$B$1000)*1,ISNUMBER(SEARCH("ELC",[1]OUT_TransportEnergyCons!$C$3:$C$1000))*1,[1]OUT_TransportEnergyCons!F$3:F$1000)</f>
        <v>2.7191641859557764E-5</v>
      </c>
      <c r="I1642" s="1" cm="1">
        <f t="array" ref="I1642">SUMPRODUCT(("TPSHPELCEXT"=[1]OUT_TransportEnergyCons!$A$3:$A$1000)*1,("Var_Fin"=[1]OUT_TransportEnergyCons!$B$3:$B$1000)*1,ISNUMBER(SEARCH("ELC",[1]OUT_TransportEnergyCons!$C$3:$C$1000))*1,[1]OUT_TransportEnergyCons!G$3:G$1000)</f>
        <v>6.4401493833294443E-5</v>
      </c>
      <c r="J1642" s="1" cm="1">
        <f t="array" ref="J1642">SUMPRODUCT(("TPSHPELCEXT"=[1]OUT_TransportEnergyCons!$A$3:$A$1000)*1,("Var_Fin"=[1]OUT_TransportEnergyCons!$B$3:$B$1000)*1,ISNUMBER(SEARCH("ELC",[1]OUT_TransportEnergyCons!$C$3:$C$1000))*1,[1]OUT_TransportEnergyCons!H$3:H$1000)</f>
        <v>2.9584728870234313E-4</v>
      </c>
      <c r="K1642" s="1" cm="1">
        <f t="array" ref="K1642">SUMPRODUCT(("TPSHPELCEXT"=[1]OUT_TransportEnergyCons!$A$3:$A$1000)*1,("Var_Fin"=[1]OUT_TransportEnergyCons!$B$3:$B$1000)*1,ISNUMBER(SEARCH("ELC",[1]OUT_TransportEnergyCons!$C$3:$C$1000))*1,[1]OUT_TransportEnergyCons!I$3:I$1000)</f>
        <v>1.2317383238127466E-4</v>
      </c>
    </row>
    <row r="1643" spans="2:11" x14ac:dyDescent="0.35">
      <c r="B1643" t="str">
        <f t="shared" si="972"/>
        <v>SPS3</v>
      </c>
      <c r="C1643" t="str">
        <f t="shared" si="1018"/>
        <v>CH</v>
      </c>
      <c r="D1643" t="s">
        <v>1657</v>
      </c>
      <c r="E1643" t="s">
        <v>8</v>
      </c>
      <c r="F1643" s="1">
        <f>SUM(F1644:F1646)</f>
        <v>0</v>
      </c>
      <c r="G1643" s="1">
        <f t="shared" ref="G1643:K1643" si="1021">SUM(G1644:G1646)</f>
        <v>0</v>
      </c>
      <c r="H1643" s="1">
        <f t="shared" si="1021"/>
        <v>0</v>
      </c>
      <c r="I1643" s="1">
        <f t="shared" si="1021"/>
        <v>0</v>
      </c>
      <c r="J1643" s="1">
        <f t="shared" si="1021"/>
        <v>4.6413984880211786E-5</v>
      </c>
      <c r="K1643" s="1">
        <f t="shared" si="1021"/>
        <v>5.307519988023874E-5</v>
      </c>
    </row>
    <row r="1644" spans="2:11" x14ac:dyDescent="0.35">
      <c r="B1644" t="str">
        <f t="shared" si="972"/>
        <v>SPS3</v>
      </c>
      <c r="C1644" t="str">
        <f t="shared" si="1018"/>
        <v>CH</v>
      </c>
      <c r="D1644" t="s">
        <v>1658</v>
      </c>
      <c r="E1644" t="str">
        <f t="shared" ref="E1644:E1646" si="1022">E1643</f>
        <v>PJ/yr.</v>
      </c>
      <c r="F1644" s="1" cm="1">
        <f t="array" ref="F1644">SUMPRODUCT(("TPRLPH2OFCL"=[1]OUT_TransportEnergyCons!$A$3:$A$1000)*1,("Var_Fin"=[1]OUT_TransportEnergyCons!$B$3:$B$1000)*1,ISNUMBER(SEARCH("h2",[1]OUT_TransportEnergyCons!$C$3:$C$1000))*1,[1]OUT_TransportEnergyCons!D$3:D$1000)</f>
        <v>0</v>
      </c>
      <c r="G1644" s="1" cm="1">
        <f t="array" ref="G1644">SUMPRODUCT(("TPRLPH2OFCL"=[1]OUT_TransportEnergyCons!$A$3:$A$1000)*1,("Var_Fin"=[1]OUT_TransportEnergyCons!$B$3:$B$1000)*1,ISNUMBER(SEARCH("h2",[1]OUT_TransportEnergyCons!$C$3:$C$1000))*1,[1]OUT_TransportEnergyCons!E$3:E$1000)</f>
        <v>0</v>
      </c>
      <c r="H1644" s="1" cm="1">
        <f t="array" ref="H1644">SUMPRODUCT(("TPRLPH2OFCL"=[1]OUT_TransportEnergyCons!$A$3:$A$1000)*1,("Var_Fin"=[1]OUT_TransportEnergyCons!$B$3:$B$1000)*1,ISNUMBER(SEARCH("h2",[1]OUT_TransportEnergyCons!$C$3:$C$1000))*1,[1]OUT_TransportEnergyCons!F$3:F$1000)</f>
        <v>0</v>
      </c>
      <c r="I1644" s="1" cm="1">
        <f t="array" ref="I1644">SUMPRODUCT(("TPRLPH2OFCL"=[1]OUT_TransportEnergyCons!$A$3:$A$1000)*1,("Var_Fin"=[1]OUT_TransportEnergyCons!$B$3:$B$1000)*1,ISNUMBER(SEARCH("h2",[1]OUT_TransportEnergyCons!$C$3:$C$1000))*1,[1]OUT_TransportEnergyCons!G$3:G$1000)</f>
        <v>0</v>
      </c>
      <c r="J1644" s="1" cm="1">
        <f t="array" ref="J1644">SUMPRODUCT(("TPRLPH2OFCL"=[1]OUT_TransportEnergyCons!$A$3:$A$1000)*1,("Var_Fin"=[1]OUT_TransportEnergyCons!$B$3:$B$1000)*1,ISNUMBER(SEARCH("h2",[1]OUT_TransportEnergyCons!$C$3:$C$1000))*1,[1]OUT_TransportEnergyCons!H$3:H$1000)</f>
        <v>0</v>
      </c>
      <c r="K1644" s="1" cm="1">
        <f t="array" ref="K1644">SUMPRODUCT(("TPRLPH2OFCL"=[1]OUT_TransportEnergyCons!$A$3:$A$1000)*1,("Var_Fin"=[1]OUT_TransportEnergyCons!$B$3:$B$1000)*1,ISNUMBER(SEARCH("h2",[1]OUT_TransportEnergyCons!$C$3:$C$1000))*1,[1]OUT_TransportEnergyCons!I$3:I$1000)</f>
        <v>0</v>
      </c>
    </row>
    <row r="1645" spans="2:11" x14ac:dyDescent="0.35">
      <c r="B1645" t="str">
        <f t="shared" si="972"/>
        <v>SPS3</v>
      </c>
      <c r="C1645" t="str">
        <f t="shared" si="1018"/>
        <v>CH</v>
      </c>
      <c r="D1645" t="s">
        <v>1659</v>
      </c>
      <c r="E1645" t="str">
        <f t="shared" si="1022"/>
        <v>PJ/yr.</v>
      </c>
      <c r="F1645" s="1" cm="1">
        <f t="array" ref="F1645">SUMPRODUCT(("TFRLFH2OFCL"=[1]OUT_TransportEnergyCons!$A$3:$A$1000)*1,("Var_Fin"=[1]OUT_TransportEnergyCons!$B$3:$B$1000)*1,ISNUMBER(SEARCH("h2",[1]OUT_TransportEnergyCons!$C$3:$C$1000))*1,[1]OUT_TransportEnergyCons!D$3:D$1000)</f>
        <v>0</v>
      </c>
      <c r="G1645" s="1" cm="1">
        <f t="array" ref="G1645">SUMPRODUCT(("TFRLFH2OFCL"=[1]OUT_TransportEnergyCons!$A$3:$A$1000)*1,("Var_Fin"=[1]OUT_TransportEnergyCons!$B$3:$B$1000)*1,ISNUMBER(SEARCH("h2",[1]OUT_TransportEnergyCons!$C$3:$C$1000))*1,[1]OUT_TransportEnergyCons!E$3:E$1000)</f>
        <v>0</v>
      </c>
      <c r="H1645" s="1" cm="1">
        <f t="array" ref="H1645">SUMPRODUCT(("TFRLFH2OFCL"=[1]OUT_TransportEnergyCons!$A$3:$A$1000)*1,("Var_Fin"=[1]OUT_TransportEnergyCons!$B$3:$B$1000)*1,ISNUMBER(SEARCH("h2",[1]OUT_TransportEnergyCons!$C$3:$C$1000))*1,[1]OUT_TransportEnergyCons!F$3:F$1000)</f>
        <v>0</v>
      </c>
      <c r="I1645" s="1" cm="1">
        <f t="array" ref="I1645">SUMPRODUCT(("TFRLFH2OFCL"=[1]OUT_TransportEnergyCons!$A$3:$A$1000)*1,("Var_Fin"=[1]OUT_TransportEnergyCons!$B$3:$B$1000)*1,ISNUMBER(SEARCH("h2",[1]OUT_TransportEnergyCons!$C$3:$C$1000))*1,[1]OUT_TransportEnergyCons!G$3:G$1000)</f>
        <v>0</v>
      </c>
      <c r="J1645" s="1" cm="1">
        <f t="array" ref="J1645">SUMPRODUCT(("TFRLFH2OFCL"=[1]OUT_TransportEnergyCons!$A$3:$A$1000)*1,("Var_Fin"=[1]OUT_TransportEnergyCons!$B$3:$B$1000)*1,ISNUMBER(SEARCH("h2",[1]OUT_TransportEnergyCons!$C$3:$C$1000))*1,[1]OUT_TransportEnergyCons!H$3:H$1000)</f>
        <v>0</v>
      </c>
      <c r="K1645" s="1" cm="1">
        <f t="array" ref="K1645">SUMPRODUCT(("TFRLFH2OFCL"=[1]OUT_TransportEnergyCons!$A$3:$A$1000)*1,("Var_Fin"=[1]OUT_TransportEnergyCons!$B$3:$B$1000)*1,ISNUMBER(SEARCH("h2",[1]OUT_TransportEnergyCons!$C$3:$C$1000))*1,[1]OUT_TransportEnergyCons!I$3:I$1000)</f>
        <v>0</v>
      </c>
    </row>
    <row r="1646" spans="2:11" x14ac:dyDescent="0.35">
      <c r="B1646" t="str">
        <f t="shared" si="972"/>
        <v>SPS3</v>
      </c>
      <c r="C1646" t="str">
        <f t="shared" si="1018"/>
        <v>CH</v>
      </c>
      <c r="D1646" t="s">
        <v>1660</v>
      </c>
      <c r="E1646" t="str">
        <f t="shared" si="1022"/>
        <v>PJ/yr.</v>
      </c>
      <c r="F1646" s="1" cm="1">
        <f t="array" ref="F1646">SUMPRODUCT(("TPSHPH2OEXT"=[1]OUT_TransportEnergyCons!$A$3:$A$1000)*1,("Var_Fin"=[1]OUT_TransportEnergyCons!$B$3:$B$1000)*1,ISNUMBER(SEARCH("h2",[1]OUT_TransportEnergyCons!$C$3:$C$1000))*1,[1]OUT_TransportEnergyCons!D$3:D$1000)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SUMPRODUCT(("TPSHPH2OEXT"=[1]OUT_TransportEnergyCons!$A$3:$A$1000)*1,("Var_Fin"=[1]OUT_TransportEnergyCons!$B$3:$B$1000)*1,ISNUMBER(SEARCH("h2",[1]OUT_TransportEnergyCons!$C$3:$C$1000))*1,[1]OUT_TransportEnergyCons!E$3:E$1000)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SUMPRODUCT(("TPSHPH2OEXT"=[1]OUT_TransportEnergyCons!$A$3:$A$1000)*1,("Var_Fin"=[1]OUT_TransportEnergyCons!$B$3:$B$1000)*1,ISNUMBER(SEARCH("h2",[1]OUT_TransportEnergyCons!$C$3:$C$1000))*1,[1]OUT_TransportEnergyCons!F$3:F$1000)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SUMPRODUCT(("TPSHPH2OEXT"=[1]OUT_TransportEnergyCons!$A$3:$A$1000)*1,("Var_Fin"=[1]OUT_TransportEnergyCons!$B$3:$B$1000)*1,ISNUMBER(SEARCH("h2",[1]OUT_TransportEnergyCons!$C$3:$C$1000))*1,[1]OUT_TransportEnergyCons!G$3:G$1000)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SUMPRODUCT(("TPSHPH2OEXT"=[1]OUT_TransportEnergyCons!$A$3:$A$1000)*1,("Var_Fin"=[1]OUT_TransportEnergyCons!$B$3:$B$1000)*1,ISNUMBER(SEARCH("h2",[1]OUT_TransportEnergyCons!$C$3:$C$1000))*1,[1]OUT_TransportEnergyCons!H$3:H$1000)</f>
        <v>4.6413984880211786E-5</v>
      </c>
      <c r="K1646" s="1" cm="1">
        <f t="array" ref="K1646">SUMPRODUCT(("TPSHPH2OEXT"=[1]OUT_TransportEnergyCons!$A$3:$A$1000)*1,("Var_Fin"=[1]OUT_TransportEnergyCons!$B$3:$B$1000)*1,ISNUMBER(SEARCH("h2",[1]OUT_TransportEnergyCons!$C$3:$C$1000))*1,[1]OUT_TransportEnergyCons!I$3:I$1000)</f>
        <v>5.307519988023874E-5</v>
      </c>
    </row>
    <row r="1647" spans="2:11" x14ac:dyDescent="0.35">
      <c r="B1647" t="str">
        <f t="shared" si="972"/>
        <v>SPS3</v>
      </c>
      <c r="C1647" t="str">
        <f t="shared" si="1018"/>
        <v>CH</v>
      </c>
      <c r="D1647" t="s">
        <v>1661</v>
      </c>
      <c r="E1647" t="str">
        <f>E1646</f>
        <v>PJ/yr.</v>
      </c>
      <c r="F1647" s="1">
        <f>F1652</f>
        <v>1.759807763728358</v>
      </c>
      <c r="G1647" s="1">
        <f t="shared" ref="G1647:K1647" si="1023">G1652</f>
        <v>1.1096193657731381</v>
      </c>
      <c r="H1647" s="1">
        <f t="shared" si="1023"/>
        <v>8.0188228883822945E-4</v>
      </c>
      <c r="I1647" s="1">
        <f t="shared" si="1023"/>
        <v>4.7672519204396076E-4</v>
      </c>
      <c r="J1647" s="1">
        <f t="shared" si="1023"/>
        <v>4.1429782171717341E-4</v>
      </c>
      <c r="K1647" s="1">
        <f t="shared" si="1023"/>
        <v>0</v>
      </c>
    </row>
    <row r="1648" spans="2:11" x14ac:dyDescent="0.35">
      <c r="B1648" t="str">
        <f t="shared" si="972"/>
        <v>SPS3</v>
      </c>
      <c r="C1648" t="str">
        <f t="shared" si="1018"/>
        <v>CH</v>
      </c>
      <c r="D1648" t="s">
        <v>1662</v>
      </c>
      <c r="E1648" t="str">
        <f t="shared" ref="E1648:E1660" si="1024">E1647</f>
        <v>PJ/yr.</v>
      </c>
      <c r="F1648" s="1">
        <f>F1647-F1649</f>
        <v>1.6634745307228942</v>
      </c>
      <c r="G1648" s="1">
        <f t="shared" ref="G1648:K1648" si="1025">G1647-G1649</f>
        <v>1.0488786372745997</v>
      </c>
      <c r="H1648" s="1">
        <f t="shared" si="1025"/>
        <v>7.5785337463056025E-4</v>
      </c>
      <c r="I1648" s="1">
        <f t="shared" si="1025"/>
        <v>4.4413636627477221E-4</v>
      </c>
      <c r="J1648" s="1">
        <f t="shared" si="1025"/>
        <v>1.7181901202717161E-4</v>
      </c>
      <c r="K1648" s="1">
        <f t="shared" si="1025"/>
        <v>0</v>
      </c>
    </row>
    <row r="1649" spans="2:11" x14ac:dyDescent="0.35">
      <c r="B1649" t="str">
        <f t="shared" si="972"/>
        <v>SPS3</v>
      </c>
      <c r="C1649" t="str">
        <f t="shared" si="1018"/>
        <v>CH</v>
      </c>
      <c r="D1649" t="s">
        <v>1663</v>
      </c>
      <c r="E1649" t="str">
        <f t="shared" si="1024"/>
        <v>PJ/yr.</v>
      </c>
      <c r="F1649" s="1">
        <f>SUM(F1650:F1651)</f>
        <v>9.6333233005463897E-2</v>
      </c>
      <c r="G1649" s="1">
        <f t="shared" ref="G1649:K1649" si="1026">SUM(G1650:G1651)</f>
        <v>6.0740728498538461E-2</v>
      </c>
      <c r="H1649" s="1">
        <f t="shared" si="1026"/>
        <v>4.4028914207669195E-5</v>
      </c>
      <c r="I1649" s="1">
        <f t="shared" si="1026"/>
        <v>3.2588825769188557E-5</v>
      </c>
      <c r="J1649" s="1">
        <f t="shared" si="1026"/>
        <v>2.4247880969000181E-4</v>
      </c>
      <c r="K1649" s="1">
        <f t="shared" si="1026"/>
        <v>0</v>
      </c>
    </row>
    <row r="1650" spans="2:11" x14ac:dyDescent="0.35">
      <c r="B1650" t="str">
        <f t="shared" si="972"/>
        <v>SPS3</v>
      </c>
      <c r="C1650" t="str">
        <f t="shared" si="1018"/>
        <v>CH</v>
      </c>
      <c r="D1650" t="s">
        <v>1664</v>
      </c>
      <c r="E1650" t="str">
        <f t="shared" si="1024"/>
        <v>PJ/yr.</v>
      </c>
      <c r="F1650" s="1">
        <f>[1]Transport!B$25/SUM([1]Transport!B$21,[1]Transport!B$25)*F1647*(F$34+F$598)/(F$34+F$598+F$37)</f>
        <v>9.6333233005463897E-2</v>
      </c>
      <c r="G1650" s="1">
        <f>[1]Transport!C$25/SUM([1]Transport!C$21,[1]Transport!C$25)*G1647*(G$34+G$598)/(G$34+G$598+G$37)</f>
        <v>6.0740728498538461E-2</v>
      </c>
      <c r="H1650" s="1">
        <f>[1]Transport!D$25/SUM([1]Transport!D$21,[1]Transport!D$25)*H1647*(H$34+H$598)/(H$34+H$598+H$37)</f>
        <v>4.4028914207669195E-5</v>
      </c>
      <c r="I1650" s="1">
        <f>[1]Transport!E$25/SUM([1]Transport!E$21,[1]Transport!E$25)*I1647*(I$34+I$598)/(I$34+I$598+I$37)</f>
        <v>3.2588825769188557E-5</v>
      </c>
      <c r="J1650" s="1">
        <f>[1]Transport!F$25/SUM([1]Transport!F$21,[1]Transport!F$25)*J1647*(J$34+J$598)/(J$34+J$598+J$37)</f>
        <v>1.371828570079754E-4</v>
      </c>
      <c r="K1650" s="1">
        <f>[1]Transport!G$25/SUM([1]Transport!G$21,[1]Transport!G$25)*K1647*(K$34+K$598)/(K$34+K$598+K$37)</f>
        <v>0</v>
      </c>
    </row>
    <row r="1651" spans="2:11" x14ac:dyDescent="0.35">
      <c r="B1651" t="str">
        <f t="shared" si="972"/>
        <v>SPS3</v>
      </c>
      <c r="C1651" t="str">
        <f t="shared" si="1018"/>
        <v>CH</v>
      </c>
      <c r="D1651" t="s">
        <v>1665</v>
      </c>
      <c r="E1651" t="str">
        <f t="shared" si="1024"/>
        <v>PJ/yr.</v>
      </c>
      <c r="F1651" s="1">
        <f>(F$37+F$717)/([1]Transport!B$21+[1]Transport!B$25)*F1647</f>
        <v>0</v>
      </c>
      <c r="G1651" s="1">
        <f>(G$37+G$717)/([1]Transport!C$21+[1]Transport!C$25)*G1647</f>
        <v>0</v>
      </c>
      <c r="H1651" s="1">
        <f>(H$37+H$717)/([1]Transport!D$21+[1]Transport!D$25)*H1647</f>
        <v>0</v>
      </c>
      <c r="I1651" s="1">
        <f>(I$37+I$717)/([1]Transport!E$21+[1]Transport!E$25)*I1647</f>
        <v>0</v>
      </c>
      <c r="J1651" s="1">
        <f>(J$37+J$717)/([1]Transport!F$21+[1]Transport!F$25)*J1647</f>
        <v>1.0529595268202641E-4</v>
      </c>
      <c r="K1651" s="1">
        <f>(K$37+K$717)/([1]Transport!G$21+[1]Transport!G$25)*K1647</f>
        <v>0</v>
      </c>
    </row>
    <row r="1652" spans="2:11" x14ac:dyDescent="0.35">
      <c r="B1652" t="str">
        <f t="shared" ref="B1652:B1715" si="1027">B1651</f>
        <v>SPS3</v>
      </c>
      <c r="C1652" t="str">
        <f t="shared" si="1018"/>
        <v>CH</v>
      </c>
      <c r="D1652" t="s">
        <v>1666</v>
      </c>
      <c r="E1652" t="str">
        <f t="shared" si="1024"/>
        <v>PJ/yr.</v>
      </c>
      <c r="F1652" s="1" cm="1">
        <f t="array" ref="F1652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2" s="1" cm="1">
        <f t="array" ref="G1652">SUMPRODUCT(("TPSHPGSLEXT"=[1]OUT_TransportEnergyCons!$A$3:$A$1000)*1,("Var_Fin"=[1]OUT_TransportEnergyCons!$B$3:$B$1000)*1,ISNUMBER(SEARCH("GSL",[1]OUT_TransportEnergyCons!$C$3:$C$1000))*1,[1]OUT_TransportEnergyCons!E$3:E$1000)</f>
        <v>1.1096193657731381</v>
      </c>
      <c r="H1652" s="1" cm="1">
        <f t="array" ref="H1652">SUMPRODUCT(("TPSHPGSLEXT"=[1]OUT_TransportEnergyCons!$A$3:$A$1000)*1,("Var_Fin"=[1]OUT_TransportEnergyCons!$B$3:$B$1000)*1,ISNUMBER(SEARCH("GSL",[1]OUT_TransportEnergyCons!$C$3:$C$1000))*1,[1]OUT_TransportEnergyCons!F$3:F$1000)</f>
        <v>8.0188228883822945E-4</v>
      </c>
      <c r="I1652" s="1" cm="1">
        <f t="array" ref="I1652">SUMPRODUCT(("TPSHPGSLEXT"=[1]OUT_TransportEnergyCons!$A$3:$A$1000)*1,("Var_Fin"=[1]OUT_TransportEnergyCons!$B$3:$B$1000)*1,ISNUMBER(SEARCH("GSL",[1]OUT_TransportEnergyCons!$C$3:$C$1000))*1,[1]OUT_TransportEnergyCons!G$3:G$1000)</f>
        <v>4.7672519204396076E-4</v>
      </c>
      <c r="J1652" s="1" cm="1">
        <f t="array" ref="J1652">SUMPRODUCT(("TPSHPGSLEXT"=[1]OUT_TransportEnergyCons!$A$3:$A$1000)*1,("Var_Fin"=[1]OUT_TransportEnergyCons!$B$3:$B$1000)*1,ISNUMBER(SEARCH("GSL",[1]OUT_TransportEnergyCons!$C$3:$C$1000))*1,[1]OUT_TransportEnergyCons!H$3:H$1000)</f>
        <v>4.1429782171717341E-4</v>
      </c>
      <c r="K1652" s="1" cm="1">
        <f t="array" ref="K1652">SUMPRODUCT(("TPSHPGSLEXT"=[1]OUT_TransportEnergyCons!$A$3:$A$1000)*1,("Var_Fin"=[1]OUT_TransportEnergyCons!$B$3:$B$1000)*1,ISNUMBER(SEARCH("GSL",[1]OUT_TransportEnergyCons!$C$3:$C$1000))*1,[1]OUT_TransportEnergyCons!I$3:I$1000)</f>
        <v>0</v>
      </c>
    </row>
    <row r="1653" spans="2:11" x14ac:dyDescent="0.35">
      <c r="B1653" t="str">
        <f t="shared" si="1027"/>
        <v>SPS3</v>
      </c>
      <c r="C1653" t="str">
        <f t="shared" si="1018"/>
        <v>CH</v>
      </c>
      <c r="D1653" t="s">
        <v>1667</v>
      </c>
      <c r="E1653" t="str">
        <f t="shared" si="1024"/>
        <v>PJ/yr.</v>
      </c>
      <c r="F1653" s="1">
        <f>SUM(F1658:F1660)</f>
        <v>17.77648242713105</v>
      </c>
      <c r="G1653" s="1">
        <f t="shared" ref="G1653:K1653" si="1028">SUM(G1658:G1660)</f>
        <v>17.488510170468572</v>
      </c>
      <c r="H1653" s="1">
        <f t="shared" si="1028"/>
        <v>17.228129183832731</v>
      </c>
      <c r="I1653" s="1">
        <f t="shared" si="1028"/>
        <v>16.343781670443875</v>
      </c>
      <c r="J1653" s="1">
        <f t="shared" si="1028"/>
        <v>16.340395819107638</v>
      </c>
      <c r="K1653" s="1">
        <f t="shared" si="1028"/>
        <v>16.349725922234995</v>
      </c>
    </row>
    <row r="1654" spans="2:11" x14ac:dyDescent="0.35">
      <c r="B1654" t="str">
        <f t="shared" si="1027"/>
        <v>SPS3</v>
      </c>
      <c r="C1654" t="str">
        <f t="shared" si="1018"/>
        <v>CH</v>
      </c>
      <c r="D1654" t="s">
        <v>1668</v>
      </c>
      <c r="E1654" t="str">
        <f t="shared" si="1024"/>
        <v>PJ/yr.</v>
      </c>
      <c r="F1654" s="1">
        <f>F1653-F1655</f>
        <v>17.34152237150451</v>
      </c>
      <c r="G1654" s="1">
        <f t="shared" ref="G1654:K1654" si="1029">G1653-G1655</f>
        <v>17.032748022559904</v>
      </c>
      <c r="H1654" s="1">
        <f t="shared" si="1029"/>
        <v>16.542981136957973</v>
      </c>
      <c r="I1654" s="1">
        <f t="shared" si="1029"/>
        <v>15.816710561678539</v>
      </c>
      <c r="J1654" s="1">
        <f t="shared" si="1029"/>
        <v>4.3293117454928627</v>
      </c>
      <c r="K1654" s="1">
        <f t="shared" si="1029"/>
        <v>-22.823066850823366</v>
      </c>
    </row>
    <row r="1655" spans="2:11" x14ac:dyDescent="0.35">
      <c r="B1655" t="str">
        <f t="shared" si="1027"/>
        <v>SPS3</v>
      </c>
      <c r="C1655" t="str">
        <f t="shared" si="1018"/>
        <v>CH</v>
      </c>
      <c r="D1655" t="s">
        <v>1669</v>
      </c>
      <c r="E1655" t="str">
        <f t="shared" si="1024"/>
        <v>PJ/yr.</v>
      </c>
      <c r="F1655" s="1">
        <f>SUM(F1656:F1657)</f>
        <v>0.43496005562654128</v>
      </c>
      <c r="G1655" s="1">
        <f t="shared" ref="G1655:K1655" si="1030">SUM(G1656:G1657)</f>
        <v>0.45576214790866698</v>
      </c>
      <c r="H1655" s="1">
        <f t="shared" si="1030"/>
        <v>0.68514804687475817</v>
      </c>
      <c r="I1655" s="1">
        <f t="shared" si="1030"/>
        <v>0.52707110876533581</v>
      </c>
      <c r="J1655" s="1">
        <f t="shared" si="1030"/>
        <v>12.011084073614775</v>
      </c>
      <c r="K1655" s="1">
        <f t="shared" si="1030"/>
        <v>39.172792773058362</v>
      </c>
    </row>
    <row r="1656" spans="2:11" x14ac:dyDescent="0.35">
      <c r="B1656" t="str">
        <f t="shared" si="1027"/>
        <v>SPS3</v>
      </c>
      <c r="C1656" t="str">
        <f t="shared" si="1018"/>
        <v>CH</v>
      </c>
      <c r="D1656" t="s">
        <v>1670</v>
      </c>
      <c r="E1656" t="str">
        <f t="shared" si="1024"/>
        <v>PJ/yr.</v>
      </c>
      <c r="F1656" s="1">
        <f>[1]Transport!B$26/SUM([1]Transport!B$22,[1]Transport!B$26)*F1653*(F$33+F$580)/(F$33+F$580+F$36)</f>
        <v>0.43496005562654128</v>
      </c>
      <c r="G1656" s="1">
        <f>[1]Transport!C$26/SUM([1]Transport!C$22,[1]Transport!C$26)*G1653*(G$33+G$580)/(G$33+G$580+G$36)</f>
        <v>0.45576214790866698</v>
      </c>
      <c r="H1656" s="1">
        <f>[1]Transport!D$26/SUM([1]Transport!D$22,[1]Transport!D$26)*H1653*(H$33+H$580)/(H$33+H$580+H$36)</f>
        <v>0.68514804687475817</v>
      </c>
      <c r="I1656" s="1">
        <f>[1]Transport!E$26/SUM([1]Transport!E$22,[1]Transport!E$26)*I1653*(I$33+I$580)/(I$33+I$580+I$36)</f>
        <v>0.52707110876533581</v>
      </c>
      <c r="J1656" s="1">
        <f>[1]Transport!F$26/SUM([1]Transport!F$22,[1]Transport!F$26)*J1653*(J$33+J$580)/(J$33+J$580+J$36)</f>
        <v>0.19815613121373848</v>
      </c>
      <c r="K1656" s="1">
        <f>[1]Transport!G$26/SUM([1]Transport!G$22,[1]Transport!G$26)*K1653*(K$33+K$580)/(K$33+K$580+K$36)</f>
        <v>6.1759448168929483</v>
      </c>
    </row>
    <row r="1657" spans="2:11" x14ac:dyDescent="0.35">
      <c r="B1657" t="str">
        <f t="shared" si="1027"/>
        <v>SPS3</v>
      </c>
      <c r="C1657" t="str">
        <f t="shared" si="1018"/>
        <v>CH</v>
      </c>
      <c r="D1657" t="s">
        <v>1671</v>
      </c>
      <c r="E1657" t="str">
        <f t="shared" si="1024"/>
        <v>PJ/yr.</v>
      </c>
      <c r="F1657" s="1">
        <f>(F$36+F$716)/([1]Transport!B$22+[1]Transport!B$26)*F1653</f>
        <v>0</v>
      </c>
      <c r="G1657" s="1">
        <f>(G$36+G$716)/([1]Transport!C$22+[1]Transport!C$26)*G1653</f>
        <v>0</v>
      </c>
      <c r="H1657" s="1">
        <f>(H$36+H$716)/([1]Transport!D$22+[1]Transport!D$26)*H1653</f>
        <v>0</v>
      </c>
      <c r="I1657" s="1">
        <f>(I$36+I$716)/([1]Transport!E$22+[1]Transport!E$26)*I1653</f>
        <v>0</v>
      </c>
      <c r="J1657" s="1">
        <f>(J$36+J$716)/([1]Transport!F$22+[1]Transport!F$26)*J1653</f>
        <v>11.812927942401037</v>
      </c>
      <c r="K1657" s="1">
        <f>(K$36+K$716)/([1]Transport!G$22+[1]Transport!G$26)*K1653</f>
        <v>32.996847956165411</v>
      </c>
    </row>
    <row r="1658" spans="2:11" x14ac:dyDescent="0.35">
      <c r="B1658" t="str">
        <f t="shared" si="1027"/>
        <v>SPS3</v>
      </c>
      <c r="C1658" t="str">
        <f t="shared" si="1018"/>
        <v>CH</v>
      </c>
      <c r="D1658" t="s">
        <v>1672</v>
      </c>
      <c r="E1658" t="str">
        <f t="shared" si="1024"/>
        <v>PJ/yr.</v>
      </c>
      <c r="F1658" s="1" cm="1">
        <f t="array" ref="F1658">SUMPRODUCT(("TPRLPDSLEXT"=[1]OUT_TransportEnergyCons!$A$3:$A$1000)*1,("Var_Fin"=[1]OUT_TransportEnergyCons!$B$3:$B$1000)*1,ISNUMBER(SEARCH("DSL",[1]OUT_TransportEnergyCons!$C$3:$C$1000))*1,[1]OUT_TransportEnergyCons!D$3:D$1000)</f>
        <v>0</v>
      </c>
      <c r="G1658" s="1" cm="1">
        <f t="array" ref="G1658">SUMPRODUCT(("TPRLPDSLEXT"=[1]OUT_TransportEnergyCons!$A$3:$A$1000)*1,("Var_Fin"=[1]OUT_TransportEnergyCons!$B$3:$B$1000)*1,ISNUMBER(SEARCH("DSL",[1]OUT_TransportEnergyCons!$C$3:$C$1000))*1,[1]OUT_TransportEnergyCons!E$3:E$1000)</f>
        <v>0</v>
      </c>
      <c r="H1658" s="1" cm="1">
        <f t="array" ref="H1658">SUMPRODUCT(("TPRLPDSLEXT"=[1]OUT_TransportEnergyCons!$A$3:$A$1000)*1,("Var_Fin"=[1]OUT_TransportEnergyCons!$B$3:$B$1000)*1,ISNUMBER(SEARCH("DSL",[1]OUT_TransportEnergyCons!$C$3:$C$1000))*1,[1]OUT_TransportEnergyCons!F$3:F$1000)</f>
        <v>0</v>
      </c>
      <c r="I1658" s="1" cm="1">
        <f t="array" ref="I1658">SUMPRODUCT(("TPRLPDSLEXT"=[1]OUT_TransportEnergyCons!$A$3:$A$1000)*1,("Var_Fin"=[1]OUT_TransportEnergyCons!$B$3:$B$1000)*1,ISNUMBER(SEARCH("DSL",[1]OUT_TransportEnergyCons!$C$3:$C$1000))*1,[1]OUT_TransportEnergyCons!G$3:G$1000)</f>
        <v>0</v>
      </c>
      <c r="J1658" s="1" cm="1">
        <f t="array" ref="J1658">SUMPRODUCT(("TPRLPDSLEXT"=[1]OUT_TransportEnergyCons!$A$3:$A$1000)*1,("Var_Fin"=[1]OUT_TransportEnergyCons!$B$3:$B$1000)*1,ISNUMBER(SEARCH("DSL",[1]OUT_TransportEnergyCons!$C$3:$C$1000))*1,[1]OUT_TransportEnergyCons!H$3:H$1000)</f>
        <v>0</v>
      </c>
      <c r="K1658" s="1" cm="1">
        <f t="array" ref="K1658">SUMPRODUCT(("TPRLPDSLEXT"=[1]OUT_TransportEnergyCons!$A$3:$A$1000)*1,("Var_Fin"=[1]OUT_TransportEnergyCons!$B$3:$B$1000)*1,ISNUMBER(SEARCH("DSL",[1]OUT_TransportEnergyCons!$C$3:$C$1000))*1,[1]OUT_TransportEnergyCons!I$3:I$1000)</f>
        <v>0</v>
      </c>
    </row>
    <row r="1659" spans="2:11" x14ac:dyDescent="0.35">
      <c r="B1659" t="str">
        <f t="shared" si="1027"/>
        <v>SPS3</v>
      </c>
      <c r="C1659" t="str">
        <f t="shared" si="1018"/>
        <v>CH</v>
      </c>
      <c r="D1659" t="s">
        <v>1673</v>
      </c>
      <c r="E1659" t="str">
        <f t="shared" si="1024"/>
        <v>PJ/yr.</v>
      </c>
      <c r="F1659" s="1" cm="1">
        <f t="array" ref="F1659">SUMPRODUCT(("TFRLFDSLEXT"=[1]OUT_TransportEnergyCons!$A$3:$A$1000)*1,("Var_Fin"=[1]OUT_TransportEnergyCons!$B$3:$B$1000)*1,ISNUMBER(SEARCH("DSL",[1]OUT_TransportEnergyCons!$C$3:$C$1000))*1,[1]OUT_TransportEnergyCons!D$3:D$1000)</f>
        <v>0.39608462079634232</v>
      </c>
      <c r="G1659" s="1" cm="1">
        <f t="array" ref="G1659">SUMPRODUCT(("TFRLFDSLEXT"=[1]OUT_TransportEnergyCons!$A$3:$A$1000)*1,("Var_Fin"=[1]OUT_TransportEnergyCons!$B$3:$B$1000)*1,ISNUMBER(SEARCH("DSL",[1]OUT_TransportEnergyCons!$C$3:$C$1000))*1,[1]OUT_TransportEnergyCons!E$3:E$1000)</f>
        <v>0.39558767616432899</v>
      </c>
      <c r="H1659" s="1" cm="1">
        <f t="array" ref="H1659">SUMPRODUCT(("TFRLFDSLEXT"=[1]OUT_TransportEnergyCons!$A$3:$A$1000)*1,("Var_Fin"=[1]OUT_TransportEnergyCons!$B$3:$B$1000)*1,ISNUMBER(SEARCH("DSL",[1]OUT_TransportEnergyCons!$C$3:$C$1000))*1,[1]OUT_TransportEnergyCons!F$3:F$1000)</f>
        <v>2.0157840642550996E-3</v>
      </c>
      <c r="I1659" s="1" cm="1">
        <f t="array" ref="I1659">SUMPRODUCT(("TFRLFDSLEXT"=[1]OUT_TransportEnergyCons!$A$3:$A$1000)*1,("Var_Fin"=[1]OUT_TransportEnergyCons!$B$3:$B$1000)*1,ISNUMBER(SEARCH("DSL",[1]OUT_TransportEnergyCons!$C$3:$C$1000))*1,[1]OUT_TransportEnergyCons!G$3:G$1000)</f>
        <v>1.5543206748684056E-3</v>
      </c>
      <c r="J1659" s="1" cm="1">
        <f t="array" ref="J1659">SUMPRODUCT(("TFRLFDSLEXT"=[1]OUT_TransportEnergyCons!$A$3:$A$1000)*1,("Var_Fin"=[1]OUT_TransportEnergyCons!$B$3:$B$1000)*1,ISNUMBER(SEARCH("DSL",[1]OUT_TransportEnergyCons!$C$3:$C$1000))*1,[1]OUT_TransportEnergyCons!H$3:H$1000)</f>
        <v>0</v>
      </c>
      <c r="K1659" s="1" cm="1">
        <f t="array" ref="K1659">SUMPRODUCT(("TFRLFDSLEXT"=[1]OUT_TransportEnergyCons!$A$3:$A$1000)*1,("Var_Fin"=[1]OUT_TransportEnergyCons!$B$3:$B$1000)*1,ISNUMBER(SEARCH("DSL",[1]OUT_TransportEnergyCons!$C$3:$C$1000))*1,[1]OUT_TransportEnergyCons!I$3:I$1000)</f>
        <v>0</v>
      </c>
    </row>
    <row r="1660" spans="2:11" x14ac:dyDescent="0.35">
      <c r="B1660" t="str">
        <f t="shared" si="1027"/>
        <v>SPS3</v>
      </c>
      <c r="C1660" t="str">
        <f t="shared" si="1018"/>
        <v>CH</v>
      </c>
      <c r="D1660" t="s">
        <v>1674</v>
      </c>
      <c r="E1660" t="str">
        <f t="shared" si="1024"/>
        <v>PJ/yr.</v>
      </c>
      <c r="F1660" s="1" cm="1">
        <f t="array" ref="F1660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0" s="1" cm="1">
        <f t="array" ref="G1660">SUMPRODUCT(("TPSHPDSLEXT"=[1]OUT_TransportEnergyCons!$A$3:$A$1000)*1,("Var_Fin"=[1]OUT_TransportEnergyCons!$B$3:$B$1000)*1,ISNUMBER(SEARCH("DSL",[1]OUT_TransportEnergyCons!$C$3:$C$1000))*1,[1]OUT_TransportEnergyCons!E$3:E$1000)</f>
        <v>17.092922494304243</v>
      </c>
      <c r="H1660" s="1" cm="1">
        <f t="array" ref="H1660">SUMPRODUCT(("TPSHPDSLEXT"=[1]OUT_TransportEnergyCons!$A$3:$A$1000)*1,("Var_Fin"=[1]OUT_TransportEnergyCons!$B$3:$B$1000)*1,ISNUMBER(SEARCH("DSL",[1]OUT_TransportEnergyCons!$C$3:$C$1000))*1,[1]OUT_TransportEnergyCons!F$3:F$1000)</f>
        <v>17.226113399768476</v>
      </c>
      <c r="I1660" s="1" cm="1">
        <f t="array" ref="I1660">SUMPRODUCT(("TPSHPDSLEXT"=[1]OUT_TransportEnergyCons!$A$3:$A$1000)*1,("Var_Fin"=[1]OUT_TransportEnergyCons!$B$3:$B$1000)*1,ISNUMBER(SEARCH("DSL",[1]OUT_TransportEnergyCons!$C$3:$C$1000))*1,[1]OUT_TransportEnergyCons!G$3:G$1000)</f>
        <v>16.342227349769008</v>
      </c>
      <c r="J1660" s="1" cm="1">
        <f t="array" ref="J1660">SUMPRODUCT(("TPSHPDSLEXT"=[1]OUT_TransportEnergyCons!$A$3:$A$1000)*1,("Var_Fin"=[1]OUT_TransportEnergyCons!$B$3:$B$1000)*1,ISNUMBER(SEARCH("DSL",[1]OUT_TransportEnergyCons!$C$3:$C$1000))*1,[1]OUT_TransportEnergyCons!H$3:H$1000)</f>
        <v>16.340395819107638</v>
      </c>
      <c r="K1660" s="1" cm="1">
        <f t="array" ref="K1660">SUMPRODUCT(("TPSHPDSLEXT"=[1]OUT_TransportEnergyCons!$A$3:$A$1000)*1,("Var_Fin"=[1]OUT_TransportEnergyCons!$B$3:$B$1000)*1,ISNUMBER(SEARCH("DSL",[1]OUT_TransportEnergyCons!$C$3:$C$1000))*1,[1]OUT_TransportEnergyCons!I$3:I$1000)</f>
        <v>16.349725922234995</v>
      </c>
    </row>
    <row r="1661" spans="2:11" x14ac:dyDescent="0.35">
      <c r="B1661" s="2" t="str">
        <f t="shared" si="1027"/>
        <v>SPS3</v>
      </c>
      <c r="C1661" s="2" t="str">
        <f t="shared" si="1018"/>
        <v>CH</v>
      </c>
      <c r="D1661" s="2" t="s">
        <v>1675</v>
      </c>
      <c r="E1661" s="21" t="s">
        <v>292</v>
      </c>
      <c r="F1661" s="21" t="s">
        <v>292</v>
      </c>
      <c r="G1661" s="21" t="s">
        <v>292</v>
      </c>
      <c r="H1661" s="21" t="s">
        <v>292</v>
      </c>
      <c r="I1661" s="21" t="s">
        <v>292</v>
      </c>
      <c r="J1661" s="21" t="s">
        <v>292</v>
      </c>
      <c r="K1661" s="21" t="s">
        <v>292</v>
      </c>
    </row>
    <row r="1662" spans="2:11" x14ac:dyDescent="0.35">
      <c r="B1662" t="str">
        <f t="shared" si="1027"/>
        <v>SPS3</v>
      </c>
      <c r="C1662" t="str">
        <f t="shared" si="1018"/>
        <v>CH</v>
      </c>
      <c r="D1662" t="s">
        <v>1676</v>
      </c>
      <c r="E1662" t="s">
        <v>1518</v>
      </c>
      <c r="F1662" s="1" cm="1">
        <f t="array" ref="F1662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2" s="1" cm="1">
        <f t="array" ref="G1662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2" s="1" cm="1">
        <f t="array" ref="H1662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2" s="1" cm="1">
        <f t="array" ref="I1662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2" s="1" cm="1">
        <f t="array" ref="J1662">SUMPRODUCT(("TPRLPELCEXT"=[1]OUT_TransportEnergyCons!$A$3:$A$1000)*1,("var_fout"=[1]OUT_TransportEnergyCons!$B$3:$B$1000)*1,ISNUMBER(SEARCH("TPRLP",[1]OUT_TransportEnergyCons!$C$3:$C$1000))*1,[1]OUT_TransportEnergyCons!H$3:H$1000)</f>
        <v>0.24502563722589676</v>
      </c>
      <c r="K1662" s="1" cm="1">
        <f t="array" ref="K1662">SUMPRODUCT(("TPRLPELCEXT"=[1]OUT_TransportEnergyCons!$A$3:$A$1000)*1,("var_fout"=[1]OUT_TransportEnergyCons!$B$3:$B$1000)*1,ISNUMBER(SEARCH("TPRLP",[1]OUT_TransportEnergyCons!$C$3:$C$1000))*1,[1]OUT_TransportEnergyCons!I$3:I$1000)</f>
        <v>0.26340107396293244</v>
      </c>
    </row>
    <row r="1663" spans="2:11" x14ac:dyDescent="0.35">
      <c r="B1663" t="str">
        <f t="shared" si="1027"/>
        <v>SPS3</v>
      </c>
      <c r="C1663" t="str">
        <f t="shared" si="1018"/>
        <v>CH</v>
      </c>
      <c r="D1663" t="s">
        <v>1677</v>
      </c>
      <c r="E1663" t="str">
        <f t="shared" ref="E1663:E1666" si="1031">E1662</f>
        <v>Billion km/yr.</v>
      </c>
      <c r="F1663" s="1" cm="1">
        <f t="array" ref="F1663">SUMPRODUCT(("TFRLFELCEXT"=[1]OUT_TransportEnergyCons!$A$3:$A$1000)*1,("var_fout"=[1]OUT_TransportEnergyCons!$B$3:$B$1000)*1,ISNUMBER(SEARCH("TfRLf",[1]OUT_TransportEnergyCons!$C$3:$C$1000))*1,[1]OUT_TransportEnergyCons!D$3:D$1000)</f>
        <v>2.5094639766492999E-2</v>
      </c>
      <c r="G1663" s="1" cm="1">
        <f t="array" ref="G1663">SUMPRODUCT(("TFRLFELCEXT"=[1]OUT_TransportEnergyCons!$A$3:$A$1000)*1,("var_fout"=[1]OUT_TransportEnergyCons!$B$3:$B$1000)*1,ISNUMBER(SEARCH("TfRLf",[1]OUT_TransportEnergyCons!$C$3:$C$1000))*1,[1]OUT_TransportEnergyCons!E$3:E$1000)</f>
        <v>2.6085760431311111E-2</v>
      </c>
      <c r="H1663" s="1" cm="1">
        <f t="array" ref="H1663">SUMPRODUCT(("TFRLFELCEXT"=[1]OUT_TransportEnergyCons!$A$3:$A$1000)*1,("var_fout"=[1]OUT_TransportEnergyCons!$B$3:$B$1000)*1,ISNUMBER(SEARCH("TfRLf",[1]OUT_TransportEnergyCons!$C$3:$C$1000))*1,[1]OUT_TransportEnergyCons!F$3:F$1000)</f>
        <v>2.9164596157015062E-2</v>
      </c>
      <c r="I1663" s="1" cm="1">
        <f t="array" ref="I1663">SUMPRODUCT(("TFRLFELCEXT"=[1]OUT_TransportEnergyCons!$A$3:$A$1000)*1,("var_fout"=[1]OUT_TransportEnergyCons!$B$3:$B$1000)*1,ISNUMBER(SEARCH("TfRLf",[1]OUT_TransportEnergyCons!$C$3:$C$1000))*1,[1]OUT_TransportEnergyCons!G$3:G$1000)</f>
        <v>3.1639232780995702E-2</v>
      </c>
      <c r="J1663" s="1" cm="1">
        <f t="array" ref="J1663">SUMPRODUCT(("TFRLFELCEXT"=[1]OUT_TransportEnergyCons!$A$3:$A$1000)*1,("var_fout"=[1]OUT_TransportEnergyCons!$B$3:$B$1000)*1,ISNUMBER(SEARCH("TfRLf",[1]OUT_TransportEnergyCons!$C$3:$C$1000))*1,[1]OUT_TransportEnergyCons!H$3:H$1000)</f>
        <v>3.3881264921559032E-2</v>
      </c>
      <c r="K1663" s="1" cm="1">
        <f t="array" ref="K1663">SUMPRODUCT(("TFRLFELCEXT"=[1]OUT_TransportEnergyCons!$A$3:$A$1000)*1,("var_fout"=[1]OUT_TransportEnergyCons!$B$3:$B$1000)*1,ISNUMBER(SEARCH("TfRLf",[1]OUT_TransportEnergyCons!$C$3:$C$1000))*1,[1]OUT_TransportEnergyCons!I$3:I$1000)</f>
        <v>3.6424023392840364E-2</v>
      </c>
    </row>
    <row r="1664" spans="2:11" x14ac:dyDescent="0.35">
      <c r="B1664" t="str">
        <f t="shared" si="1027"/>
        <v>SPS3</v>
      </c>
      <c r="C1664" t="str">
        <f t="shared" si="1018"/>
        <v>CH</v>
      </c>
      <c r="D1664" t="s">
        <v>1678</v>
      </c>
      <c r="E1664" t="s">
        <v>8</v>
      </c>
      <c r="F1664" s="1" cm="1">
        <f t="array" ref="F1664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4" s="1" cm="1">
        <f t="array" ref="G1664">SUMPRODUCT(("TPSHPELCEXT"=[1]OUT_TransportEnergyCons!$A$3:$A$1000)*1,("var_fout"=[1]OUT_TransportEnergyCons!$B$3:$B$1000)*1,ISNUMBER(SEARCH("TPSHP",[1]OUT_TransportEnergyCons!$C$3:$C$1000))*1,[1]OUT_TransportEnergyCons!E$3:E$1000)</f>
        <v>1.5652391645102701E-6</v>
      </c>
      <c r="H1664" s="1" cm="1">
        <f t="array" ref="H1664">SUMPRODUCT(("TPSHPELCEXT"=[1]OUT_TransportEnergyCons!$A$3:$A$1000)*1,("var_fout"=[1]OUT_TransportEnergyCons!$B$3:$B$1000)*1,ISNUMBER(SEARCH("TPSHP",[1]OUT_TransportEnergyCons!$C$3:$C$1000))*1,[1]OUT_TransportEnergyCons!F$3:F$1000)</f>
        <v>6.7092420675213306E-5</v>
      </c>
      <c r="I1664" s="1" cm="1">
        <f t="array" ref="I1664">SUMPRODUCT(("TPSHPELCEXT"=[1]OUT_TransportEnergyCons!$A$3:$A$1000)*1,("var_fout"=[1]OUT_TransportEnergyCons!$B$3:$B$1000)*1,ISNUMBER(SEARCH("TPSHP",[1]OUT_TransportEnergyCons!$C$3:$C$1000))*1,[1]OUT_TransportEnergyCons!G$3:G$1000)</f>
        <v>1.58903685871281E-4</v>
      </c>
      <c r="J1664" s="1" cm="1">
        <f t="array" ref="J1664">SUMPRODUCT(("TPSHPELCEXT"=[1]OUT_TransportEnergyCons!$A$3:$A$1000)*1,("var_fout"=[1]OUT_TransportEnergyCons!$B$3:$B$1000)*1,ISNUMBER(SEARCH("TPSHP",[1]OUT_TransportEnergyCons!$C$3:$C$1000))*1,[1]OUT_TransportEnergyCons!H$3:H$1000)</f>
        <v>7.2997102755904299E-4</v>
      </c>
      <c r="K1664" s="1" cm="1">
        <f t="array" ref="K1664">SUMPRODUCT(("TPSHPELCEXT"=[1]OUT_TransportEnergyCons!$A$3:$A$1000)*1,("var_fout"=[1]OUT_TransportEnergyCons!$B$3:$B$1000)*1,ISNUMBER(SEARCH("TPSHP",[1]OUT_TransportEnergyCons!$C$3:$C$1000))*1,[1]OUT_TransportEnergyCons!I$3:I$1000)</f>
        <v>3.0391804294075401E-4</v>
      </c>
    </row>
    <row r="1665" spans="2:11" x14ac:dyDescent="0.35">
      <c r="B1665" t="str">
        <f t="shared" si="1027"/>
        <v>SPS3</v>
      </c>
      <c r="C1665" t="str">
        <f t="shared" si="1018"/>
        <v>CH</v>
      </c>
      <c r="D1665" t="s">
        <v>1679</v>
      </c>
      <c r="E1665" t="s">
        <v>1518</v>
      </c>
      <c r="F1665" s="1" cm="1">
        <f t="array" ref="F1665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65" s="1" cm="1">
        <f t="array" ref="G1665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65" s="1" cm="1">
        <f t="array" ref="H1665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65" s="1" cm="1">
        <f t="array" ref="I1665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65" s="1" cm="1">
        <f t="array" ref="J1665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65" s="1" cm="1">
        <f t="array" ref="K1665">SUMPRODUCT(("TPRLPH2OFCL"=[1]OUT_TransportEnergyCons!$A$3:$A$1000)*1,("var_fout"=[1]OUT_TransportEnergyCons!$B$3:$B$1000)*1,ISNUMBER(SEARCH("TPRLP",[1]OUT_TransportEnergyCons!$C$3:$C$1000))*1,[1]OUT_TransportEnergyCons!I$3:I$1000)</f>
        <v>0</v>
      </c>
    </row>
    <row r="1666" spans="2:11" x14ac:dyDescent="0.35">
      <c r="B1666" t="str">
        <f t="shared" si="1027"/>
        <v>SPS3</v>
      </c>
      <c r="C1666" t="str">
        <f t="shared" si="1018"/>
        <v>CH</v>
      </c>
      <c r="D1666" t="s">
        <v>1680</v>
      </c>
      <c r="E1666" t="str">
        <f t="shared" si="1031"/>
        <v>Billion km/yr.</v>
      </c>
      <c r="F1666" s="1" cm="1">
        <f t="array" ref="F1666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66" s="1" cm="1">
        <f t="array" ref="G1666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66" s="1" cm="1">
        <f t="array" ref="H1666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66" s="1" cm="1">
        <f t="array" ref="I1666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66" s="1" cm="1">
        <f t="array" ref="J1666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66" s="1" cm="1">
        <f t="array" ref="K1666">SUMPRODUCT(("TFRLFH2OFCL"=[1]OUT_TransportEnergyCons!$A$3:$A$1000)*1,("var_fout"=[1]OUT_TransportEnergyCons!$B$3:$B$1000)*1,ISNUMBER(SEARCH("TfRLf",[1]OUT_TransportEnergyCons!$C$3:$C$1000))*1,[1]OUT_TransportEnergyCons!I$3:I$1000)</f>
        <v>0</v>
      </c>
    </row>
    <row r="1667" spans="2:11" x14ac:dyDescent="0.35">
      <c r="B1667" t="str">
        <f t="shared" si="1027"/>
        <v>SPS3</v>
      </c>
      <c r="C1667" t="str">
        <f t="shared" si="1018"/>
        <v>CH</v>
      </c>
      <c r="D1667" t="s">
        <v>1681</v>
      </c>
      <c r="E1667" t="s">
        <v>8</v>
      </c>
      <c r="F1667" s="1" cm="1">
        <f t="array" ref="F1667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67" s="1" cm="1">
        <f t="array" ref="G1667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67" s="1" cm="1">
        <f t="array" ref="H1667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67" s="1" cm="1">
        <f t="array" ref="I1667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67" s="1" cm="1">
        <f t="array" ref="J1667">SUMPRODUCT(("TPSHPH2OEXT"=[1]OUT_TransportEnergyCons!$A$3:$A$1000)*1,("var_fout"=[1]OUT_TransportEnergyCons!$B$3:$B$1000)*1,ISNUMBER(SEARCH("TPSHP",[1]OUT_TransportEnergyCons!$C$3:$C$1000))*1,[1]OUT_TransportEnergyCons!H$3:H$1000)</f>
        <v>8.3242472882988505E-5</v>
      </c>
      <c r="K1667" s="1" cm="1">
        <f t="array" ref="K1667">SUMPRODUCT(("TPSHPH2OEXT"=[1]OUT_TransportEnergyCons!$A$3:$A$1000)*1,("var_fout"=[1]OUT_TransportEnergyCons!$B$3:$B$1000)*1,ISNUMBER(SEARCH("TPSHP",[1]OUT_TransportEnergyCons!$C$3:$C$1000))*1,[1]OUT_TransportEnergyCons!I$3:I$1000)</f>
        <v>9.5189217176515405E-5</v>
      </c>
    </row>
    <row r="1668" spans="2:11" x14ac:dyDescent="0.35">
      <c r="B1668" t="str">
        <f t="shared" si="1027"/>
        <v>SPS3</v>
      </c>
      <c r="C1668" t="str">
        <f t="shared" si="1018"/>
        <v>CH</v>
      </c>
      <c r="D1668" t="s">
        <v>1682</v>
      </c>
      <c r="E1668" t="s">
        <v>8</v>
      </c>
      <c r="F1668" s="1" cm="1">
        <f t="array" ref="F1668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68" s="1" cm="1">
        <f t="array" ref="G1668">SUMPRODUCT(("TPSHPGSLEXT"=[1]OUT_TransportEnergyCons!$A$3:$A$1000)*1,("var_fout"=[1]OUT_TransportEnergyCons!$B$3:$B$1000)*1,ISNUMBER(SEARCH("TPSHP",[1]OUT_TransportEnergyCons!$C$3:$C$1000))*1,[1]OUT_TransportEnergyCons!E$3:E$1000)</f>
        <v>1.0057726071149999</v>
      </c>
      <c r="H1668" s="1" cm="1">
        <f t="array" ref="H1668">SUMPRODUCT(("TPSHPGSLEXT"=[1]OUT_TransportEnergyCons!$A$3:$A$1000)*1,("var_fout"=[1]OUT_TransportEnergyCons!$B$3:$B$1000)*1,ISNUMBER(SEARCH("TPSHP",[1]OUT_TransportEnergyCons!$C$3:$C$1000))*1,[1]OUT_TransportEnergyCons!F$3:F$1000)</f>
        <v>7.2683594493885297E-4</v>
      </c>
      <c r="I1668" s="1" cm="1">
        <f t="array" ref="I1668">SUMPRODUCT(("TPSHPGSLEXT"=[1]OUT_TransportEnergyCons!$A$3:$A$1000)*1,("var_fout"=[1]OUT_TransportEnergyCons!$B$3:$B$1000)*1,ISNUMBER(SEARCH("TPSHP",[1]OUT_TransportEnergyCons!$C$3:$C$1000))*1,[1]OUT_TransportEnergyCons!G$3:G$1000)</f>
        <v>4.3210956303504699E-4</v>
      </c>
      <c r="J1668" s="1" cm="1">
        <f t="array" ref="J1668">SUMPRODUCT(("TPSHPGSLEXT"=[1]OUT_TransportEnergyCons!$A$3:$A$1000)*1,("var_fout"=[1]OUT_TransportEnergyCons!$B$3:$B$1000)*1,ISNUMBER(SEARCH("TPSHP",[1]OUT_TransportEnergyCons!$C$3:$C$1000))*1,[1]OUT_TransportEnergyCons!H$3:H$1000)</f>
        <v>3.7552462864616102E-4</v>
      </c>
      <c r="K1668" s="1" cm="1">
        <f t="array" ref="K1668">SUMPRODUCT(("TPSHPGSLEXT"=[1]OUT_TransportEnergyCons!$A$3:$A$1000)*1,("var_fout"=[1]OUT_TransportEnergyCons!$B$3:$B$1000)*1,ISNUMBER(SEARCH("TPSHP",[1]OUT_TransportEnergyCons!$C$3:$C$1000))*1,[1]OUT_TransportEnergyCons!I$3:I$1000)</f>
        <v>0</v>
      </c>
    </row>
    <row r="1669" spans="2:11" x14ac:dyDescent="0.35">
      <c r="B1669" t="str">
        <f t="shared" si="1027"/>
        <v>SPS3</v>
      </c>
      <c r="C1669" t="str">
        <f t="shared" si="1018"/>
        <v>CH</v>
      </c>
      <c r="D1669" t="s">
        <v>1683</v>
      </c>
      <c r="E1669" t="s">
        <v>1518</v>
      </c>
      <c r="F1669" s="1" cm="1">
        <f t="array" ref="F1669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69" s="1" cm="1">
        <f t="array" ref="G1669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69" s="1" cm="1">
        <f t="array" ref="H1669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69" s="1" cm="1">
        <f t="array" ref="I1669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69" s="1" cm="1">
        <f t="array" ref="J1669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69" s="1" cm="1">
        <f t="array" ref="K1669">SUMPRODUCT(("TPRLPDSLEXT"=[1]OUT_TransportEnergyCons!$A$3:$A$1000)*1,("var_fout"=[1]OUT_TransportEnergyCons!$B$3:$B$1000)*1,ISNUMBER(SEARCH("TPRLP",[1]OUT_TransportEnergyCons!$C$3:$C$1000))*1,[1]OUT_TransportEnergyCons!I$3:I$1000)</f>
        <v>0</v>
      </c>
    </row>
    <row r="1670" spans="2:11" x14ac:dyDescent="0.35">
      <c r="B1670" t="str">
        <f t="shared" si="1027"/>
        <v>SPS3</v>
      </c>
      <c r="C1670" t="str">
        <f t="shared" si="1018"/>
        <v>CH</v>
      </c>
      <c r="D1670" t="s">
        <v>1684</v>
      </c>
      <c r="E1670" t="str">
        <f t="shared" ref="E1670" si="1032">E1669</f>
        <v>Billion km/yr.</v>
      </c>
      <c r="F1670" s="1" cm="1">
        <f t="array" ref="F1670">SUMPRODUCT(("TFRLFDSLEXT"=[1]OUT_TransportEnergyCons!$A$3:$A$1000)*1,("var_fout"=[1]OUT_TransportEnergyCons!$B$3:$B$1000)*1,ISNUMBER(SEARCH("TfRLf",[1]OUT_TransportEnergyCons!$C$3:$C$1000))*1,[1]OUT_TransportEnergyCons!D$3:D$1000)</f>
        <v>1.6053602335069962E-3</v>
      </c>
      <c r="G1670" s="1" cm="1">
        <f t="array" ref="G1670">SUMPRODUCT(("TFRLFDSLEXT"=[1]OUT_TransportEnergyCons!$A$3:$A$1000)*1,("var_fout"=[1]OUT_TransportEnergyCons!$B$3:$B$1000)*1,ISNUMBER(SEARCH("TfRLf",[1]OUT_TransportEnergyCons!$C$3:$C$1000))*1,[1]OUT_TransportEnergyCons!E$3:E$1000)</f>
        <v>1.6033460801958047E-3</v>
      </c>
      <c r="H1670" s="1" cm="1">
        <f t="array" ref="H1670">SUMPRODUCT(("TFRLFDSLEXT"=[1]OUT_TransportEnergyCons!$A$3:$A$1000)*1,("var_fout"=[1]OUT_TransportEnergyCons!$B$3:$B$1000)*1,ISNUMBER(SEARCH("TfRLf",[1]OUT_TransportEnergyCons!$C$3:$C$1000))*1,[1]OUT_TransportEnergyCons!F$3:F$1000)</f>
        <v>8.1701217522307047E-6</v>
      </c>
      <c r="I1670" s="1" cm="1">
        <f t="array" ref="I1670">SUMPRODUCT(("TFRLFDSLEXT"=[1]OUT_TransportEnergyCons!$A$3:$A$1000)*1,("var_fout"=[1]OUT_TransportEnergyCons!$B$3:$B$1000)*1,ISNUMBER(SEARCH("TfRLf",[1]OUT_TransportEnergyCons!$C$3:$C$1000))*1,[1]OUT_TransportEnergyCons!G$3:G$1000)</f>
        <v>6.2997765389999677E-6</v>
      </c>
      <c r="J1670" s="1" cm="1">
        <f t="array" ref="J1670">SUMPRODUCT(("TFRLFDSLEXT"=[1]OUT_TransportEnergyCons!$A$3:$A$1000)*1,("var_fout"=[1]OUT_TransportEnergyCons!$B$3:$B$1000)*1,ISNUMBER(SEARCH("TfRLf",[1]OUT_TransportEnergyCons!$C$3:$C$1000))*1,[1]OUT_TransportEnergyCons!H$3:H$1000)</f>
        <v>0</v>
      </c>
      <c r="K1670" s="1" cm="1">
        <f t="array" ref="K1670">SUMPRODUCT(("TFRLFDSLEXT"=[1]OUT_TransportEnergyCons!$A$3:$A$1000)*1,("var_fout"=[1]OUT_TransportEnergyCons!$B$3:$B$1000)*1,ISNUMBER(SEARCH("TfRLf",[1]OUT_TransportEnergyCons!$C$3:$C$1000))*1,[1]OUT_TransportEnergyCons!I$3:I$1000)</f>
        <v>0</v>
      </c>
    </row>
    <row r="1671" spans="2:11" x14ac:dyDescent="0.35">
      <c r="B1671" t="str">
        <f t="shared" si="1027"/>
        <v>SPS3</v>
      </c>
      <c r="C1671" t="str">
        <f t="shared" si="1018"/>
        <v>CH</v>
      </c>
      <c r="D1671" t="s">
        <v>1685</v>
      </c>
      <c r="E1671" t="s">
        <v>8</v>
      </c>
      <c r="F1671" s="1" cm="1">
        <f t="array" ref="F1671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1" s="1" cm="1">
        <f t="array" ref="G1671">SUMPRODUCT(("TPSHPDSLEXT"=[1]OUT_TransportEnergyCons!$A$3:$A$1000)*1,("var_fout"=[1]OUT_TransportEnergyCons!$B$3:$B$1000)*1,ISNUMBER(SEARCH("TPSHP",[1]OUT_TransportEnergyCons!$C$3:$C$1000))*1,[1]OUT_TransportEnergyCons!E$3:E$1000)</f>
        <v>16.892418755588398</v>
      </c>
      <c r="H1671" s="1" cm="1">
        <f t="array" ref="H1671">SUMPRODUCT(("TPSHPDSLEXT"=[1]OUT_TransportEnergyCons!$A$3:$A$1000)*1,("var_fout"=[1]OUT_TransportEnergyCons!$B$3:$B$1000)*1,ISNUMBER(SEARCH("TPSHP",[1]OUT_TransportEnergyCons!$C$3:$C$1000))*1,[1]OUT_TransportEnergyCons!F$3:F$1000)</f>
        <v>17.024047302449599</v>
      </c>
      <c r="I1671" s="1" cm="1">
        <f t="array" ref="I1671">SUMPRODUCT(("TPSHPDSLEXT"=[1]OUT_TransportEnergyCons!$A$3:$A$1000)*1,("var_fout"=[1]OUT_TransportEnergyCons!$B$3:$B$1000)*1,ISNUMBER(SEARCH("TPSHP",[1]OUT_TransportEnergyCons!$C$3:$C$1000))*1,[1]OUT_TransportEnergyCons!G$3:G$1000)</f>
        <v>16.150529430137901</v>
      </c>
      <c r="J1671" s="1" cm="1">
        <f t="array" ref="J1671">SUMPRODUCT(("TPSHPDSLEXT"=[1]OUT_TransportEnergyCons!$A$3:$A$1000)*1,("var_fout"=[1]OUT_TransportEnergyCons!$B$3:$B$1000)*1,ISNUMBER(SEARCH("TPSHP",[1]OUT_TransportEnergyCons!$C$3:$C$1000))*1,[1]OUT_TransportEnergyCons!H$3:H$1000)</f>
        <v>16.148719383733901</v>
      </c>
      <c r="K1671" s="1" cm="1">
        <f t="array" ref="K1671">SUMPRODUCT(("TPSHPDSLEXT"=[1]OUT_TransportEnergyCons!$A$3:$A$1000)*1,("var_fout"=[1]OUT_TransportEnergyCons!$B$3:$B$1000)*1,ISNUMBER(SEARCH("TPSHP",[1]OUT_TransportEnergyCons!$C$3:$C$1000))*1,[1]OUT_TransportEnergyCons!I$3:I$1000)</f>
        <v>16.1579400427004</v>
      </c>
    </row>
    <row r="1672" spans="2:11" x14ac:dyDescent="0.35">
      <c r="B1672" s="2" t="str">
        <f t="shared" si="1027"/>
        <v>SPS3</v>
      </c>
      <c r="C1672" s="2" t="str">
        <f t="shared" si="1018"/>
        <v>CH</v>
      </c>
      <c r="D1672" s="2" t="s">
        <v>1686</v>
      </c>
      <c r="E1672" s="21" t="s">
        <v>292</v>
      </c>
      <c r="F1672" s="21" t="s">
        <v>292</v>
      </c>
      <c r="G1672" s="21" t="s">
        <v>292</v>
      </c>
      <c r="H1672" s="21" t="s">
        <v>292</v>
      </c>
      <c r="I1672" s="21" t="s">
        <v>292</v>
      </c>
      <c r="J1672" s="21" t="s">
        <v>292</v>
      </c>
      <c r="K1672" s="21" t="s">
        <v>292</v>
      </c>
    </row>
    <row r="1673" spans="2:11" x14ac:dyDescent="0.35">
      <c r="B1673" t="str">
        <f t="shared" si="1027"/>
        <v>SPS3</v>
      </c>
      <c r="C1673" t="str">
        <f t="shared" si="1018"/>
        <v>CH</v>
      </c>
      <c r="D1673" t="s">
        <v>1687</v>
      </c>
      <c r="E1673" t="s">
        <v>1230</v>
      </c>
      <c r="F1673" s="7">
        <f>IFERROR(F1662/F1640,"-")</f>
        <v>2.5309161094553195E-2</v>
      </c>
      <c r="G1673" s="7">
        <f t="shared" ref="G1673:K1673" si="1033">IFERROR(G1662/G1640,"-")</f>
        <v>2.5301857215832019E-2</v>
      </c>
      <c r="H1673" s="7">
        <f t="shared" si="1033"/>
        <v>2.5290901397750198E-2</v>
      </c>
      <c r="I1673" s="7">
        <f t="shared" si="1033"/>
        <v>2.5272641700947188E-2</v>
      </c>
      <c r="J1673" s="7">
        <f t="shared" si="1033"/>
        <v>2.5236122307341253E-2</v>
      </c>
      <c r="K1673" s="7">
        <f t="shared" si="1033"/>
        <v>2.5199602913735349E-2</v>
      </c>
    </row>
    <row r="1674" spans="2:11" x14ac:dyDescent="0.35">
      <c r="B1674" t="str">
        <f t="shared" si="1027"/>
        <v>SPS3</v>
      </c>
      <c r="C1674" t="str">
        <f t="shared" si="1018"/>
        <v>CH</v>
      </c>
      <c r="D1674" t="s">
        <v>1688</v>
      </c>
      <c r="E1674" t="s">
        <v>1230</v>
      </c>
      <c r="F1674" s="7">
        <f>IFERROR(F1663/F1641,"-")</f>
        <v>1.6704032219401293E-2</v>
      </c>
      <c r="G1674" s="7">
        <f t="shared" ref="G1674:K1674" si="1034">IFERROR(G1663/G1641,"-")</f>
        <v>1.6704032219401303E-2</v>
      </c>
      <c r="H1674" s="7">
        <f t="shared" si="1034"/>
        <v>1.67040322194013E-2</v>
      </c>
      <c r="I1674" s="7">
        <f t="shared" si="1034"/>
        <v>1.6704032219401303E-2</v>
      </c>
      <c r="J1674" s="7">
        <f t="shared" si="1034"/>
        <v>1.6704032219401303E-2</v>
      </c>
      <c r="K1674" s="7">
        <f t="shared" si="1034"/>
        <v>1.6704032219401293E-2</v>
      </c>
    </row>
    <row r="1675" spans="2:11" x14ac:dyDescent="0.35">
      <c r="B1675" t="str">
        <f t="shared" si="1027"/>
        <v>SPS3</v>
      </c>
      <c r="C1675" t="str">
        <f t="shared" si="1018"/>
        <v>CH</v>
      </c>
      <c r="D1675" t="s">
        <v>1689</v>
      </c>
      <c r="E1675" t="s">
        <v>240</v>
      </c>
      <c r="F1675" t="str">
        <f>IFERROR(F1664/F1642,"-")</f>
        <v>-</v>
      </c>
      <c r="G1675">
        <f t="shared" ref="G1675:K1675" si="1035">IFERROR(G1664/G1642,"-")</f>
        <v>2.4673913043478337</v>
      </c>
      <c r="H1675">
        <f t="shared" si="1035"/>
        <v>2.4673913043478306</v>
      </c>
      <c r="I1675">
        <f t="shared" si="1035"/>
        <v>2.4673913043478284</v>
      </c>
      <c r="J1675">
        <f t="shared" si="1035"/>
        <v>2.4673913043478284</v>
      </c>
      <c r="K1675">
        <f t="shared" si="1035"/>
        <v>2.4673913043478279</v>
      </c>
    </row>
    <row r="1676" spans="2:11" x14ac:dyDescent="0.35">
      <c r="B1676" t="str">
        <f t="shared" si="1027"/>
        <v>SPS3</v>
      </c>
      <c r="C1676" t="str">
        <f t="shared" si="1018"/>
        <v>CH</v>
      </c>
      <c r="D1676" t="s">
        <v>1690</v>
      </c>
      <c r="E1676" t="s">
        <v>1230</v>
      </c>
      <c r="F1676" t="str">
        <f>IFERROR(F1665/F1644,"-")</f>
        <v>-</v>
      </c>
      <c r="G1676" t="str">
        <f t="shared" ref="G1676:K1676" si="1036">IFERROR(G1665/G1644,"-")</f>
        <v>-</v>
      </c>
      <c r="H1676" t="str">
        <f t="shared" si="1036"/>
        <v>-</v>
      </c>
      <c r="I1676" t="str">
        <f t="shared" si="1036"/>
        <v>-</v>
      </c>
      <c r="J1676" t="str">
        <f t="shared" si="1036"/>
        <v>-</v>
      </c>
      <c r="K1676" t="str">
        <f t="shared" si="1036"/>
        <v>-</v>
      </c>
    </row>
    <row r="1677" spans="2:11" x14ac:dyDescent="0.35">
      <c r="B1677" t="str">
        <f t="shared" si="1027"/>
        <v>SPS3</v>
      </c>
      <c r="C1677" t="str">
        <f t="shared" si="1018"/>
        <v>CH</v>
      </c>
      <c r="D1677" t="s">
        <v>1691</v>
      </c>
      <c r="E1677" t="s">
        <v>1230</v>
      </c>
      <c r="F1677" t="str">
        <f>IFERROR(F1666/F1645,"-")</f>
        <v>-</v>
      </c>
      <c r="G1677" t="str">
        <f t="shared" ref="G1677:K1677" si="1037">IFERROR(G1666/G1645,"-")</f>
        <v>-</v>
      </c>
      <c r="H1677" t="str">
        <f t="shared" si="1037"/>
        <v>-</v>
      </c>
      <c r="I1677" t="str">
        <f t="shared" si="1037"/>
        <v>-</v>
      </c>
      <c r="J1677" t="str">
        <f t="shared" si="1037"/>
        <v>-</v>
      </c>
      <c r="K1677" t="str">
        <f t="shared" si="1037"/>
        <v>-</v>
      </c>
    </row>
    <row r="1678" spans="2:11" x14ac:dyDescent="0.35">
      <c r="B1678" t="str">
        <f t="shared" si="1027"/>
        <v>SPS3</v>
      </c>
      <c r="C1678" t="str">
        <f t="shared" si="1018"/>
        <v>CH</v>
      </c>
      <c r="D1678" t="s">
        <v>1692</v>
      </c>
      <c r="E1678" t="s">
        <v>240</v>
      </c>
      <c r="F1678" t="str">
        <f>IFERROR(F1667/F1646,"-")</f>
        <v>-</v>
      </c>
      <c r="G1678" t="str">
        <f t="shared" ref="G1678:K1678" si="1038">IFERROR(G1667/G1646,"-")</f>
        <v>-</v>
      </c>
      <c r="H1678" t="str">
        <f t="shared" si="1038"/>
        <v>-</v>
      </c>
      <c r="I1678" t="str">
        <f t="shared" si="1038"/>
        <v>-</v>
      </c>
      <c r="J1678">
        <f t="shared" si="1038"/>
        <v>1.7934782608695647</v>
      </c>
      <c r="K1678">
        <f t="shared" si="1038"/>
        <v>1.7934782608695703</v>
      </c>
    </row>
    <row r="1679" spans="2:11" x14ac:dyDescent="0.35">
      <c r="B1679" t="str">
        <f t="shared" si="1027"/>
        <v>SPS3</v>
      </c>
      <c r="C1679" t="str">
        <f t="shared" si="1018"/>
        <v>CH</v>
      </c>
      <c r="D1679" t="s">
        <v>1693</v>
      </c>
      <c r="E1679" t="s">
        <v>240</v>
      </c>
      <c r="F1679" s="4">
        <f>IFERROR(F1668/F1652,"-")</f>
        <v>0.90641226905247907</v>
      </c>
      <c r="G1679" s="4">
        <f t="shared" ref="G1679:K1679" si="1039">IFERROR(G1668/G1652,"-")</f>
        <v>0.9064122690524764</v>
      </c>
      <c r="H1679" s="4">
        <f t="shared" si="1039"/>
        <v>0.90641226905247663</v>
      </c>
      <c r="I1679" s="4">
        <f t="shared" si="1039"/>
        <v>0.90641226905248262</v>
      </c>
      <c r="J1679" s="4">
        <f t="shared" si="1039"/>
        <v>0.90641226905247529</v>
      </c>
      <c r="K1679" s="4" t="str">
        <f t="shared" si="1039"/>
        <v>-</v>
      </c>
    </row>
    <row r="1680" spans="2:11" x14ac:dyDescent="0.35">
      <c r="B1680" t="str">
        <f t="shared" si="1027"/>
        <v>SPS3</v>
      </c>
      <c r="C1680" t="str">
        <f t="shared" si="1018"/>
        <v>CH</v>
      </c>
      <c r="D1680" t="s">
        <v>1694</v>
      </c>
      <c r="E1680" t="s">
        <v>1230</v>
      </c>
      <c r="F1680" t="str">
        <f>IFERROR(F1669/F1658,"-")</f>
        <v>-</v>
      </c>
      <c r="G1680" t="str">
        <f t="shared" ref="G1680:K1682" si="1040">IFERROR(G1669/G1658,"-")</f>
        <v>-</v>
      </c>
      <c r="H1680" t="str">
        <f t="shared" si="1040"/>
        <v>-</v>
      </c>
      <c r="I1680" t="str">
        <f t="shared" si="1040"/>
        <v>-</v>
      </c>
      <c r="J1680" t="str">
        <f t="shared" si="1040"/>
        <v>-</v>
      </c>
      <c r="K1680" t="str">
        <f t="shared" si="1040"/>
        <v>-</v>
      </c>
    </row>
    <row r="1681" spans="2:11" x14ac:dyDescent="0.35">
      <c r="B1681" t="str">
        <f t="shared" si="1027"/>
        <v>SPS3</v>
      </c>
      <c r="C1681" t="str">
        <f t="shared" si="1018"/>
        <v>CH</v>
      </c>
      <c r="D1681" t="s">
        <v>1695</v>
      </c>
      <c r="E1681" t="s">
        <v>1230</v>
      </c>
      <c r="F1681" s="1">
        <f>IFERROR(F1670/F1659,"-")</f>
        <v>4.0530738867855104E-3</v>
      </c>
      <c r="G1681" s="1">
        <f t="shared" si="1040"/>
        <v>4.0530738867855104E-3</v>
      </c>
      <c r="H1681">
        <f t="shared" si="1040"/>
        <v>4.0530738867855078E-3</v>
      </c>
      <c r="I1681">
        <f t="shared" si="1040"/>
        <v>4.0530738867855113E-3</v>
      </c>
      <c r="J1681" t="str">
        <f t="shared" si="1040"/>
        <v>-</v>
      </c>
      <c r="K1681" t="str">
        <f t="shared" si="1040"/>
        <v>-</v>
      </c>
    </row>
    <row r="1682" spans="2:11" x14ac:dyDescent="0.35">
      <c r="B1682" t="str">
        <f t="shared" si="1027"/>
        <v>SPS3</v>
      </c>
      <c r="C1682" t="str">
        <f t="shared" si="1018"/>
        <v>CH</v>
      </c>
      <c r="D1682" t="s">
        <v>1696</v>
      </c>
      <c r="E1682" t="s">
        <v>240</v>
      </c>
      <c r="F1682" s="4">
        <f>IFERROR(F1671/F1660,"-")</f>
        <v>0.98826978015125178</v>
      </c>
      <c r="G1682" s="4">
        <f t="shared" si="1040"/>
        <v>0.98826978015124933</v>
      </c>
      <c r="H1682" s="4">
        <f t="shared" si="1040"/>
        <v>0.98826978015124456</v>
      </c>
      <c r="I1682" s="4">
        <f t="shared" si="1040"/>
        <v>0.98826978015124622</v>
      </c>
      <c r="J1682" s="4">
        <f t="shared" si="1040"/>
        <v>0.98826978015124944</v>
      </c>
      <c r="K1682" s="4">
        <f t="shared" si="1040"/>
        <v>0.98826978015125166</v>
      </c>
    </row>
    <row r="1683" spans="2:11" x14ac:dyDescent="0.35">
      <c r="B1683" s="2" t="str">
        <f t="shared" si="1027"/>
        <v>SPS3</v>
      </c>
      <c r="C1683" s="2" t="str">
        <f>C1682</f>
        <v>CH</v>
      </c>
      <c r="D1683" s="2" t="s">
        <v>1702</v>
      </c>
      <c r="E1683" s="2" t="s">
        <v>442</v>
      </c>
      <c r="F1683" s="3">
        <f>SUM(F1684:F1686,F1689:F1691,-F1696)</f>
        <v>34.687105990875011</v>
      </c>
      <c r="G1683" s="3">
        <f t="shared" ref="G1683:K1683" si="1041">SUM(G1684:G1686,G1689:G1691,-G1696)</f>
        <v>32.675982430456912</v>
      </c>
      <c r="H1683" s="3">
        <f t="shared" si="1041"/>
        <v>30.277405496841663</v>
      </c>
      <c r="I1683" s="3">
        <f t="shared" si="1041"/>
        <v>22.950621789429174</v>
      </c>
      <c r="J1683" s="3">
        <f t="shared" si="1041"/>
        <v>9.6289176040154807</v>
      </c>
      <c r="K1683" s="3">
        <f t="shared" si="1041"/>
        <v>4.4002753032896445E-7</v>
      </c>
    </row>
    <row r="1684" spans="2:11" x14ac:dyDescent="0.35">
      <c r="B1684" t="str">
        <f t="shared" si="1027"/>
        <v>SPS3</v>
      </c>
      <c r="C1684" t="str">
        <f t="shared" ref="C1684" si="1042">C1683</f>
        <v>CH</v>
      </c>
      <c r="D1684" t="s">
        <v>1703</v>
      </c>
      <c r="E1684" t="str">
        <f>E1683</f>
        <v>Mt/yr.</v>
      </c>
      <c r="F1684" s="1">
        <f>[1]Summary!B53+[1]Summary!B59</f>
        <v>2.6070444434691735</v>
      </c>
      <c r="G1684" s="1">
        <f>[1]Summary!C53+[1]Summary!C59</f>
        <v>2.6579531437203485</v>
      </c>
      <c r="H1684" s="1">
        <f>[1]Summary!D53+[1]Summary!D59</f>
        <v>2.5062840180749033</v>
      </c>
      <c r="I1684" s="1">
        <f>[1]Summary!E53+[1]Summary!E59</f>
        <v>2.5314487456222663</v>
      </c>
      <c r="J1684" s="1">
        <f>[1]Summary!F53+[1]Summary!F59</f>
        <v>2.3954578350413813</v>
      </c>
      <c r="K1684" s="1">
        <f>[1]Summary!G53+[1]Summary!G59</f>
        <v>-0.27486419493570979</v>
      </c>
    </row>
    <row r="1685" spans="2:11" x14ac:dyDescent="0.35">
      <c r="B1685" t="str">
        <f t="shared" si="1027"/>
        <v>SPS3</v>
      </c>
      <c r="C1685" t="str">
        <f t="shared" ref="C1685:C1696" si="1043">C1684</f>
        <v>CH</v>
      </c>
      <c r="D1685" t="s">
        <v>1704</v>
      </c>
      <c r="E1685" t="str">
        <f t="shared" ref="E1685:E1696" si="1044">E1684</f>
        <v>Mt/yr.</v>
      </c>
      <c r="F1685" s="1">
        <f>[1]Summary!B54+[1]Summary!B61</f>
        <v>0</v>
      </c>
      <c r="G1685" s="1">
        <f>[1]Summary!C54+[1]Summary!C61</f>
        <v>0</v>
      </c>
      <c r="H1685" s="1">
        <f>[1]Summary!D54+[1]Summary!D61</f>
        <v>0</v>
      </c>
      <c r="I1685" s="1">
        <f>[1]Summary!E54+[1]Summary!E61</f>
        <v>0</v>
      </c>
      <c r="J1685" s="1">
        <f>[1]Summary!F54+[1]Summary!F61</f>
        <v>0</v>
      </c>
      <c r="K1685" s="1">
        <f>[1]Summary!G54+[1]Summary!G61+[1]Summary!G62</f>
        <v>-0.92666599340273004</v>
      </c>
    </row>
    <row r="1686" spans="2:11" x14ac:dyDescent="0.35">
      <c r="B1686" t="str">
        <f t="shared" si="1027"/>
        <v>SPS3</v>
      </c>
      <c r="C1686" t="str">
        <f t="shared" si="1043"/>
        <v>CH</v>
      </c>
      <c r="D1686" t="s">
        <v>1705</v>
      </c>
      <c r="E1686" t="str">
        <f t="shared" si="1044"/>
        <v>Mt/yr.</v>
      </c>
      <c r="F1686" s="1">
        <f>[1]Summary!B55+[1]Summary!B60</f>
        <v>6.4935507570034803</v>
      </c>
      <c r="G1686" s="1">
        <f>[1]Summary!C55+[1]Summary!C60</f>
        <v>6.1619830630031416</v>
      </c>
      <c r="H1686" s="1">
        <f>[1]Summary!D55+[1]Summary!D60</f>
        <v>5.7569143175434139</v>
      </c>
      <c r="I1686" s="1">
        <f>[1]Summary!E55+[1]Summary!E60</f>
        <v>4.8800707407034754</v>
      </c>
      <c r="J1686" s="1">
        <f>[1]Summary!F55+[1]Summary!F60</f>
        <v>3.299225211362959</v>
      </c>
      <c r="K1686" s="1">
        <f>[1]Summary!G55+[1]Summary!G60</f>
        <v>0.91091754700871608</v>
      </c>
    </row>
    <row r="1687" spans="2:11" x14ac:dyDescent="0.35">
      <c r="B1687" t="str">
        <f t="shared" si="1027"/>
        <v>SPS3</v>
      </c>
      <c r="C1687" t="str">
        <f t="shared" si="1043"/>
        <v>CH</v>
      </c>
      <c r="D1687" t="s">
        <v>1715</v>
      </c>
      <c r="E1687" t="str">
        <f t="shared" si="1044"/>
        <v>Mt/yr.</v>
      </c>
      <c r="F1687" s="1">
        <f>F1686-F1688</f>
        <v>4.40420395651884</v>
      </c>
      <c r="G1687" s="1">
        <f t="shared" ref="G1687:K1687" si="1045">G1686-G1688</f>
        <v>4.0509698931290608</v>
      </c>
      <c r="H1687" s="1">
        <f t="shared" si="1045"/>
        <v>3.6546448464821539</v>
      </c>
      <c r="I1687" s="1">
        <f t="shared" si="1045"/>
        <v>2.7864123167737356</v>
      </c>
      <c r="J1687" s="1">
        <f t="shared" si="1045"/>
        <v>1.2218098626381404</v>
      </c>
      <c r="K1687" s="1">
        <f t="shared" si="1045"/>
        <v>-0.37932316927491772</v>
      </c>
    </row>
    <row r="1688" spans="2:11" x14ac:dyDescent="0.35">
      <c r="B1688" t="str">
        <f t="shared" si="1027"/>
        <v>SPS3</v>
      </c>
      <c r="C1688" t="str">
        <f t="shared" si="1043"/>
        <v>CH</v>
      </c>
      <c r="D1688" t="s">
        <v>1714</v>
      </c>
      <c r="E1688" t="str">
        <f t="shared" si="1044"/>
        <v>Mt/yr.</v>
      </c>
      <c r="F1688" s="1" cm="1">
        <f t="array" ref="F1688">SUMPRODUCT(ISNUMBER(SEARCH("processco2",[1]OUT_CO2_emissions!$D$3:$D$1000))*1,("var_fout"=[1]OUT_CO2_emissions!$C$3:$C$1000)*1,("CO2"=[1]OUT_CO2_emissions!$B$3:$B$1000)*1,[1]OUT_CO2_emissions!E$3:E$1000)/1000</f>
        <v>2.0893468004846398</v>
      </c>
      <c r="G1688" s="1" cm="1">
        <f t="array" ref="G1688">SUMPRODUCT(ISNUMBER(SEARCH("processco2",[1]OUT_CO2_emissions!$D$3:$D$1000))*1,("var_fout"=[1]OUT_CO2_emissions!$C$3:$C$1000)*1,("CO2"=[1]OUT_CO2_emissions!$B$3:$B$1000)*1,[1]OUT_CO2_emissions!F$3:F$1000)/1000</f>
        <v>2.1110131698740804</v>
      </c>
      <c r="H1688" s="1" cm="1">
        <f t="array" ref="H1688">SUMPRODUCT(ISNUMBER(SEARCH("processco2",[1]OUT_CO2_emissions!$D$3:$D$1000))*1,("var_fout"=[1]OUT_CO2_emissions!$C$3:$C$1000)*1,("CO2"=[1]OUT_CO2_emissions!$B$3:$B$1000)*1,[1]OUT_CO2_emissions!G$3:G$1000)/1000</f>
        <v>2.1022694710612599</v>
      </c>
      <c r="I1688" s="1" cm="1">
        <f t="array" ref="I1688">SUMPRODUCT(ISNUMBER(SEARCH("processco2",[1]OUT_CO2_emissions!$D$3:$D$1000))*1,("var_fout"=[1]OUT_CO2_emissions!$C$3:$C$1000)*1,("CO2"=[1]OUT_CO2_emissions!$B$3:$B$1000)*1,[1]OUT_CO2_emissions!H$3:H$1000)/1000</f>
        <v>2.0936584239297398</v>
      </c>
      <c r="J1688" s="1" cm="1">
        <f t="array" ref="J1688">SUMPRODUCT(ISNUMBER(SEARCH("processco2",[1]OUT_CO2_emissions!$D$3:$D$1000))*1,("var_fout"=[1]OUT_CO2_emissions!$C$3:$C$1000)*1,("CO2"=[1]OUT_CO2_emissions!$B$3:$B$1000)*1,[1]OUT_CO2_emissions!I$3:I$1000)/1000</f>
        <v>2.0774153487248186</v>
      </c>
      <c r="K1688" s="1" cm="1">
        <f t="array" ref="K1688">SUMPRODUCT(ISNUMBER(SEARCH("processco2",[1]OUT_CO2_emissions!$D$3:$D$1000))*1,("var_fout"=[1]OUT_CO2_emissions!$C$3:$C$1000)*1,("CO2"=[1]OUT_CO2_emissions!$B$3:$B$1000)*1,[1]OUT_CO2_emissions!J$3:J$1000)/1000</f>
        <v>1.2902407162836338</v>
      </c>
    </row>
    <row r="1689" spans="2:11" x14ac:dyDescent="0.35">
      <c r="B1689" t="str">
        <f t="shared" si="1027"/>
        <v>SPS3</v>
      </c>
      <c r="C1689" t="str">
        <f t="shared" si="1043"/>
        <v>CH</v>
      </c>
      <c r="D1689" t="s">
        <v>1706</v>
      </c>
      <c r="E1689" t="str">
        <f t="shared" si="1044"/>
        <v>Mt/yr.</v>
      </c>
      <c r="F1689" s="1">
        <f>[1]Summary!B56</f>
        <v>3.7915216822193996</v>
      </c>
      <c r="G1689" s="1">
        <f>[1]Summary!C56</f>
        <v>3.2571995607828401</v>
      </c>
      <c r="H1689" s="1">
        <f>[1]Summary!D56</f>
        <v>3.18067364852423</v>
      </c>
      <c r="I1689" s="1">
        <f>[1]Summary!E56</f>
        <v>1.8179823323554352</v>
      </c>
      <c r="J1689" s="1">
        <f>[1]Summary!F56</f>
        <v>0.39153318910551194</v>
      </c>
      <c r="K1689" s="1">
        <f>[1]Summary!G56</f>
        <v>7.9041828314593606E-3</v>
      </c>
    </row>
    <row r="1690" spans="2:11" x14ac:dyDescent="0.35">
      <c r="B1690" t="str">
        <f t="shared" si="1027"/>
        <v>SPS3</v>
      </c>
      <c r="C1690" t="str">
        <f t="shared" si="1043"/>
        <v>CH</v>
      </c>
      <c r="D1690" t="s">
        <v>1707</v>
      </c>
      <c r="E1690" t="str">
        <f t="shared" si="1044"/>
        <v>Mt/yr.</v>
      </c>
      <c r="F1690" s="1">
        <f>[1]Summary!B57</f>
        <v>7.1784619671037184</v>
      </c>
      <c r="G1690" s="1">
        <f>[1]Summary!C57</f>
        <v>6.4235207602001774</v>
      </c>
      <c r="H1690" s="1">
        <f>[1]Summary!D57</f>
        <v>6.2361499260065427</v>
      </c>
      <c r="I1690" s="1">
        <f>[1]Summary!E57</f>
        <v>3.7031411426657299</v>
      </c>
      <c r="J1690" s="1">
        <f>[1]Summary!F57</f>
        <v>0.91658946163149091</v>
      </c>
      <c r="K1690" s="1">
        <f>[1]Summary!G57</f>
        <v>8.7776525698659274E-3</v>
      </c>
    </row>
    <row r="1691" spans="2:11" x14ac:dyDescent="0.35">
      <c r="B1691" t="str">
        <f t="shared" si="1027"/>
        <v>SPS3</v>
      </c>
      <c r="C1691" t="str">
        <f t="shared" si="1043"/>
        <v>CH</v>
      </c>
      <c r="D1691" t="s">
        <v>1708</v>
      </c>
      <c r="E1691" t="str">
        <f t="shared" si="1044"/>
        <v>Mt/yr.</v>
      </c>
      <c r="F1691" s="1">
        <f>[1]Summary!B58</f>
        <v>14.616527141079242</v>
      </c>
      <c r="G1691" s="1">
        <f>[1]Summary!C58</f>
        <v>14.175325902750403</v>
      </c>
      <c r="H1691" s="1">
        <f>[1]Summary!D58</f>
        <v>12.597383586692573</v>
      </c>
      <c r="I1691" s="1">
        <f>[1]Summary!E58</f>
        <v>10.017978828082267</v>
      </c>
      <c r="J1691" s="1">
        <f>[1]Summary!F58</f>
        <v>2.626113827893648</v>
      </c>
      <c r="K1691" s="1">
        <f>[1]Summary!G58</f>
        <v>0.27399066953573692</v>
      </c>
    </row>
    <row r="1692" spans="2:11" x14ac:dyDescent="0.35">
      <c r="B1692" t="str">
        <f t="shared" si="1027"/>
        <v>SPS3</v>
      </c>
      <c r="C1692" t="str">
        <f t="shared" si="1043"/>
        <v>CH</v>
      </c>
      <c r="D1692" t="s">
        <v>1709</v>
      </c>
      <c r="E1692" t="str">
        <f t="shared" si="1044"/>
        <v>Mt/yr.</v>
      </c>
      <c r="F1692" s="1">
        <f>-[1]Summary!B59</f>
        <v>0</v>
      </c>
      <c r="G1692" s="1">
        <f>-[1]Summary!C59</f>
        <v>0</v>
      </c>
      <c r="H1692" s="1">
        <f>-[1]Summary!D59</f>
        <v>0</v>
      </c>
      <c r="I1692" s="1">
        <f>-[1]Summary!E59</f>
        <v>0</v>
      </c>
      <c r="J1692" s="1">
        <f>-[1]Summary!F59</f>
        <v>2.3861526505255436E-4</v>
      </c>
      <c r="K1692" s="1">
        <f>-[1]Summary!G59</f>
        <v>2.6154598615099949</v>
      </c>
    </row>
    <row r="1693" spans="2:11" x14ac:dyDescent="0.35">
      <c r="B1693" t="str">
        <f t="shared" si="1027"/>
        <v>SPS3</v>
      </c>
      <c r="C1693" t="str">
        <f t="shared" si="1043"/>
        <v>CH</v>
      </c>
      <c r="D1693" t="s">
        <v>1710</v>
      </c>
      <c r="E1693" t="str">
        <f t="shared" si="1044"/>
        <v>Mt/yr.</v>
      </c>
      <c r="F1693" s="1">
        <f>-[1]Summary!B60</f>
        <v>0</v>
      </c>
      <c r="G1693" s="1">
        <f>-[1]Summary!C60</f>
        <v>0</v>
      </c>
      <c r="H1693" s="1">
        <f>-[1]Summary!D60</f>
        <v>0</v>
      </c>
      <c r="I1693" s="1">
        <f>-[1]Summary!E60</f>
        <v>0</v>
      </c>
      <c r="J1693" s="1">
        <f>-[1]Summary!F60</f>
        <v>0.28095744411168266</v>
      </c>
      <c r="K1693" s="1">
        <f>-[1]Summary!G60</f>
        <v>2.1492897493218344</v>
      </c>
    </row>
    <row r="1694" spans="2:11" x14ac:dyDescent="0.35">
      <c r="B1694" t="str">
        <f t="shared" si="1027"/>
        <v>SPS3</v>
      </c>
      <c r="C1694" t="str">
        <f t="shared" si="1043"/>
        <v>CH</v>
      </c>
      <c r="D1694" t="s">
        <v>1711</v>
      </c>
      <c r="E1694" t="str">
        <f t="shared" si="1044"/>
        <v>Mt/yr.</v>
      </c>
      <c r="F1694" s="1">
        <f>-[1]Summary!B61</f>
        <v>0</v>
      </c>
      <c r="G1694" s="1">
        <f>-[1]Summary!C61</f>
        <v>0</v>
      </c>
      <c r="H1694" s="1">
        <f>-[1]Summary!D61</f>
        <v>0</v>
      </c>
      <c r="I1694" s="1">
        <f>-[1]Summary!E61</f>
        <v>0</v>
      </c>
      <c r="J1694" s="1">
        <f>-[1]Summary!F61</f>
        <v>0</v>
      </c>
      <c r="K1694" s="1">
        <f>-[1]Summary!G61</f>
        <v>0.84465247677264677</v>
      </c>
    </row>
    <row r="1695" spans="2:11" x14ac:dyDescent="0.35">
      <c r="B1695" t="str">
        <f t="shared" si="1027"/>
        <v>SPS3</v>
      </c>
      <c r="C1695" t="str">
        <f t="shared" si="1043"/>
        <v>CH</v>
      </c>
      <c r="D1695" t="s">
        <v>1712</v>
      </c>
      <c r="E1695" t="str">
        <f t="shared" si="1044"/>
        <v>Mt/yr.</v>
      </c>
      <c r="F1695" s="1">
        <f>-[1]Summary!B62</f>
        <v>0</v>
      </c>
      <c r="G1695" s="1">
        <f>-[1]Summary!C62</f>
        <v>0</v>
      </c>
      <c r="H1695" s="1">
        <f>-[1]Summary!D62</f>
        <v>0</v>
      </c>
      <c r="I1695" s="1">
        <f>-[1]Summary!E62</f>
        <v>0</v>
      </c>
      <c r="J1695" s="1">
        <f>-[1]Summary!F62</f>
        <v>2.862010595040838E-5</v>
      </c>
      <c r="K1695" s="1">
        <f>-[1]Summary!G62</f>
        <v>8.2013516630083272E-2</v>
      </c>
    </row>
    <row r="1696" spans="2:11" x14ac:dyDescent="0.35">
      <c r="B1696" t="str">
        <f t="shared" si="1027"/>
        <v>SPS3</v>
      </c>
      <c r="C1696" t="str">
        <f t="shared" si="1043"/>
        <v>CH</v>
      </c>
      <c r="D1696" t="s">
        <v>1713</v>
      </c>
      <c r="E1696" t="str">
        <f t="shared" si="1044"/>
        <v>Mt/yr.</v>
      </c>
      <c r="F1696" s="1">
        <f>-[1]Summary!B63</f>
        <v>0</v>
      </c>
      <c r="G1696" s="1">
        <f>-[1]Summary!C63</f>
        <v>0</v>
      </c>
      <c r="H1696" s="1">
        <f>-[1]Summary!D63</f>
        <v>0</v>
      </c>
      <c r="I1696" s="1">
        <f>-[1]Summary!E63</f>
        <v>0</v>
      </c>
      <c r="J1696" s="1">
        <f>-[1]Summary!F63</f>
        <v>1.9210195111377031E-6</v>
      </c>
      <c r="K1696" s="1">
        <f>-[1]Summary!G63</f>
        <v>5.9423579808010655E-5</v>
      </c>
    </row>
    <row r="1697" spans="2:11" x14ac:dyDescent="0.35">
      <c r="B1697" s="2" t="str">
        <f t="shared" si="1027"/>
        <v>SPS3</v>
      </c>
      <c r="C1697" s="2" t="str">
        <f>C1696</f>
        <v>CH</v>
      </c>
      <c r="D1697" s="2" t="s">
        <v>1716</v>
      </c>
      <c r="E1697" s="2" t="s">
        <v>442</v>
      </c>
      <c r="F1697" s="3">
        <f>SUM(F1698:F1700)</f>
        <v>0</v>
      </c>
      <c r="G1697" s="3">
        <f t="shared" ref="G1697:K1697" si="1046">SUM(G1698:G1700)</f>
        <v>0</v>
      </c>
      <c r="H1697" s="3">
        <f t="shared" si="1046"/>
        <v>0</v>
      </c>
      <c r="I1697" s="3">
        <f t="shared" si="1046"/>
        <v>0</v>
      </c>
      <c r="J1697" s="3">
        <f t="shared" si="1046"/>
        <v>0.28114131521852692</v>
      </c>
      <c r="K1697" s="3">
        <f t="shared" si="1046"/>
        <v>5.6913881145122893</v>
      </c>
    </row>
    <row r="1698" spans="2:11" x14ac:dyDescent="0.35">
      <c r="B1698" t="str">
        <f t="shared" si="1027"/>
        <v>SPS3</v>
      </c>
      <c r="C1698" t="str">
        <f>C1697</f>
        <v>CH</v>
      </c>
      <c r="D1698" t="s">
        <v>1717</v>
      </c>
      <c r="E1698" t="str">
        <f>E1697</f>
        <v>Mt/yr.</v>
      </c>
      <c r="F1698" s="1">
        <v>0</v>
      </c>
      <c r="G1698" s="1">
        <v>0</v>
      </c>
      <c r="H1698" s="1">
        <v>0</v>
      </c>
      <c r="I1698" s="1">
        <v>0</v>
      </c>
      <c r="J1698" s="1">
        <f>[1]Summary!B$77</f>
        <v>0</v>
      </c>
      <c r="K1698" s="1">
        <f>[1]Summary!C$77</f>
        <v>0</v>
      </c>
    </row>
    <row r="1699" spans="2:11" x14ac:dyDescent="0.35">
      <c r="B1699" t="str">
        <f t="shared" si="1027"/>
        <v>SPS3</v>
      </c>
      <c r="C1699" t="str">
        <f t="shared" ref="C1699:C1700" si="1047">C1698</f>
        <v>CH</v>
      </c>
      <c r="D1699" t="s">
        <v>1718</v>
      </c>
      <c r="E1699" t="str">
        <f>E1698</f>
        <v>Mt/yr.</v>
      </c>
      <c r="F1699" s="1">
        <v>0</v>
      </c>
      <c r="G1699" s="1">
        <v>0</v>
      </c>
      <c r="H1699" s="1">
        <v>0</v>
      </c>
      <c r="I1699" s="1">
        <v>0</v>
      </c>
      <c r="J1699" s="1">
        <f>[1]Summary!B$78</f>
        <v>0.28114131521852692</v>
      </c>
      <c r="K1699" s="1">
        <f>[1]Summary!C$78</f>
        <v>0.39342930924456121</v>
      </c>
    </row>
    <row r="1700" spans="2:11" x14ac:dyDescent="0.35">
      <c r="B1700" t="str">
        <f t="shared" si="1027"/>
        <v>SPS3</v>
      </c>
      <c r="C1700" t="str">
        <f t="shared" si="1047"/>
        <v>CH</v>
      </c>
      <c r="D1700" t="s">
        <v>1719</v>
      </c>
      <c r="E1700" t="str">
        <f>E1699</f>
        <v>Mt/yr.</v>
      </c>
      <c r="F1700" s="1">
        <v>0</v>
      </c>
      <c r="G1700" s="1">
        <v>0</v>
      </c>
      <c r="H1700" s="1">
        <v>0</v>
      </c>
      <c r="I1700" s="1">
        <v>0</v>
      </c>
      <c r="J1700" s="1">
        <f>[1]Summary!B$79</f>
        <v>0</v>
      </c>
      <c r="K1700" s="1">
        <f>[1]Summary!C$79</f>
        <v>5.2979588052677284</v>
      </c>
    </row>
    <row r="1701" spans="2:11" x14ac:dyDescent="0.35">
      <c r="B1701" s="2" t="str">
        <f t="shared" si="1027"/>
        <v>SPS3</v>
      </c>
      <c r="C1701" s="2" t="str">
        <f t="shared" ref="C1701:C1706" si="1048">C1700</f>
        <v>CH</v>
      </c>
      <c r="D1701" s="2" t="s">
        <v>1721</v>
      </c>
      <c r="E1701" s="21" t="s">
        <v>292</v>
      </c>
      <c r="F1701" s="21" t="s">
        <v>292</v>
      </c>
      <c r="G1701" s="21" t="s">
        <v>292</v>
      </c>
      <c r="H1701" s="21" t="s">
        <v>292</v>
      </c>
      <c r="I1701" s="21" t="s">
        <v>292</v>
      </c>
      <c r="J1701" s="21" t="s">
        <v>292</v>
      </c>
      <c r="K1701" s="21" t="s">
        <v>292</v>
      </c>
    </row>
    <row r="1702" spans="2:11" x14ac:dyDescent="0.35">
      <c r="B1702" t="str">
        <f t="shared" si="1027"/>
        <v>SPS3</v>
      </c>
      <c r="C1702" t="str">
        <f t="shared" si="1048"/>
        <v>CH</v>
      </c>
      <c r="D1702" t="s">
        <v>1724</v>
      </c>
      <c r="E1702" t="s">
        <v>8</v>
      </c>
      <c r="F1702" s="1">
        <f>SUM(F1703:F1704)</f>
        <v>0</v>
      </c>
      <c r="G1702" s="1">
        <f t="shared" ref="G1702:K1702" si="1049">SUM(G1703:G1704)</f>
        <v>0</v>
      </c>
      <c r="H1702" s="1">
        <f t="shared" si="1049"/>
        <v>0</v>
      </c>
      <c r="I1702" s="1">
        <f t="shared" si="1049"/>
        <v>0</v>
      </c>
      <c r="J1702" s="1">
        <f t="shared" si="1049"/>
        <v>1.5437018865020001E-5</v>
      </c>
      <c r="K1702" s="1">
        <f t="shared" si="1049"/>
        <v>4.3282771712290511E-4</v>
      </c>
    </row>
    <row r="1703" spans="2:11" x14ac:dyDescent="0.35">
      <c r="B1703" t="str">
        <f t="shared" si="1027"/>
        <v>SPS3</v>
      </c>
      <c r="C1703" t="str">
        <f t="shared" si="1048"/>
        <v>CH</v>
      </c>
      <c r="D1703" t="s">
        <v>1725</v>
      </c>
      <c r="E1703" t="s">
        <v>8</v>
      </c>
      <c r="F1703" s="1" cm="1">
        <f t="array" ref="F1703">SUMPRODUCT(("SUP_DAC"=[1]OUT_SyntheticFuels!$C$1:$C$1000)*1,("Var_Fin"=[1]OUT_SyntheticFuels!$B$1:$B$1000)*1,ISNUMBER(SEARCH("ELC",[1]OUT_SyntheticFuels!$A$1:$A$1000))*1,[1]OUT_SyntheticFuels!E$1:E$1000)</f>
        <v>0</v>
      </c>
      <c r="G1703" s="1" cm="1">
        <f t="array" ref="G1703">SUMPRODUCT(("SUP_DAC"=[1]OUT_SyntheticFuels!$C$1:$C$1000)*1,("Var_Fin"=[1]OUT_SyntheticFuels!$B$1:$B$1000)*1,ISNUMBER(SEARCH("ELC",[1]OUT_SyntheticFuels!$A$1:$A$1000))*1,[1]OUT_SyntheticFuels!F$1:F$1000)</f>
        <v>0</v>
      </c>
      <c r="H1703" s="1" cm="1">
        <f t="array" ref="H1703">SUMPRODUCT(("SUP_DAC"=[1]OUT_SyntheticFuels!$C$1:$C$1000)*1,("Var_Fin"=[1]OUT_SyntheticFuels!$B$1:$B$1000)*1,ISNUMBER(SEARCH("ELC",[1]OUT_SyntheticFuels!$A$1:$A$1000))*1,[1]OUT_SyntheticFuels!G$1:G$1000)</f>
        <v>0</v>
      </c>
      <c r="I1703" s="1" cm="1">
        <f t="array" ref="I1703">SUMPRODUCT(("SUP_DAC"=[1]OUT_SyntheticFuels!$C$1:$C$1000)*1,("Var_Fin"=[1]OUT_SyntheticFuels!$B$1:$B$1000)*1,ISNUMBER(SEARCH("ELC",[1]OUT_SyntheticFuels!$A$1:$A$1000))*1,[1]OUT_SyntheticFuels!H$1:H$1000)</f>
        <v>0</v>
      </c>
      <c r="J1703" s="1" cm="1">
        <f t="array" ref="J1703">SUMPRODUCT(("SUP_DAC"=[1]OUT_SyntheticFuels!$C$1:$C$1000)*1,("Var_Fin"=[1]OUT_SyntheticFuels!$B$1:$B$1000)*1,ISNUMBER(SEARCH("ELC",[1]OUT_SyntheticFuels!$A$1:$A$1000))*1,[1]OUT_SyntheticFuels!I$1:I$1000)</f>
        <v>2.6638137221109489E-6</v>
      </c>
      <c r="K1703" s="1" cm="1">
        <f t="array" ref="K1703">SUMPRODUCT(("SUP_DAC"=[1]OUT_SyntheticFuels!$C$1:$C$1000)*1,("Var_Fin"=[1]OUT_SyntheticFuels!$B$1:$B$1000)*1,ISNUMBER(SEARCH("ELC",[1]OUT_SyntheticFuels!$A$1:$A$1000))*1,[1]OUT_SyntheticFuels!J$1:J$1000)</f>
        <v>5.4075457625289727E-5</v>
      </c>
    </row>
    <row r="1704" spans="2:11" x14ac:dyDescent="0.35">
      <c r="B1704" t="str">
        <f t="shared" si="1027"/>
        <v>SPS3</v>
      </c>
      <c r="C1704" t="str">
        <f t="shared" si="1048"/>
        <v>CH</v>
      </c>
      <c r="D1704" t="s">
        <v>1726</v>
      </c>
      <c r="E1704" t="s">
        <v>8</v>
      </c>
      <c r="F1704" s="1" cm="1">
        <f t="array" ref="F1704">SUMPRODUCT(("SUP_DAC"=[1]OUT_SyntheticFuels!$C$1:$C$1000)*1,("Var_Fin"=[1]OUT_SyntheticFuels!$B$1:$B$1000)*1,ISNUMBER(SEARCH("HEAT",[1]OUT_SyntheticFuels!$A$1:$A$1000))*1,[1]OUT_SyntheticFuels!E$1:E$1000)</f>
        <v>0</v>
      </c>
      <c r="G1704" s="1" cm="1">
        <f t="array" ref="G1704">SUMPRODUCT(("SUP_DAC"=[1]OUT_SyntheticFuels!$C$1:$C$1000)*1,("Var_Fin"=[1]OUT_SyntheticFuels!$B$1:$B$1000)*1,ISNUMBER(SEARCH("HEAT",[1]OUT_SyntheticFuels!$A$1:$A$1000))*1,[1]OUT_SyntheticFuels!F$1:F$1000)</f>
        <v>0</v>
      </c>
      <c r="H1704" s="1" cm="1">
        <f t="array" ref="H1704">SUMPRODUCT(("SUP_DAC"=[1]OUT_SyntheticFuels!$C$1:$C$1000)*1,("Var_Fin"=[1]OUT_SyntheticFuels!$B$1:$B$1000)*1,ISNUMBER(SEARCH("HEAT",[1]OUT_SyntheticFuels!$A$1:$A$1000))*1,[1]OUT_SyntheticFuels!G$1:G$1000)</f>
        <v>0</v>
      </c>
      <c r="I1704" s="1" cm="1">
        <f t="array" ref="I1704">SUMPRODUCT(("SUP_DAC"=[1]OUT_SyntheticFuels!$C$1:$C$1000)*1,("Var_Fin"=[1]OUT_SyntheticFuels!$B$1:$B$1000)*1,ISNUMBER(SEARCH("HEAT",[1]OUT_SyntheticFuels!$A$1:$A$1000))*1,[1]OUT_SyntheticFuels!H$1:H$1000)</f>
        <v>0</v>
      </c>
      <c r="J1704" s="1" cm="1">
        <f t="array" ref="J1704">SUMPRODUCT(("SUP_DAC"=[1]OUT_SyntheticFuels!$C$1:$C$1000)*1,("Var_Fin"=[1]OUT_SyntheticFuels!$B$1:$B$1000)*1,ISNUMBER(SEARCH("HEAT",[1]OUT_SyntheticFuels!$A$1:$A$1000))*1,[1]OUT_SyntheticFuels!I$1:I$1000)</f>
        <v>1.2773205142909051E-5</v>
      </c>
      <c r="K1704" s="1" cm="1">
        <f t="array" ref="K1704">SUMPRODUCT(("SUP_DAC"=[1]OUT_SyntheticFuels!$C$1:$C$1000)*1,("Var_Fin"=[1]OUT_SyntheticFuels!$B$1:$B$1000)*1,ISNUMBER(SEARCH("HEAT",[1]OUT_SyntheticFuels!$A$1:$A$1000))*1,[1]OUT_SyntheticFuels!J$1:J$1000)</f>
        <v>3.7875225949761539E-4</v>
      </c>
    </row>
    <row r="1705" spans="2:11" x14ac:dyDescent="0.35">
      <c r="B1705" t="str">
        <f t="shared" si="1027"/>
        <v>SPS3</v>
      </c>
      <c r="C1705" t="str">
        <f t="shared" si="1048"/>
        <v>CH</v>
      </c>
      <c r="D1705" t="s">
        <v>1727</v>
      </c>
      <c r="E1705" t="s">
        <v>442</v>
      </c>
      <c r="F1705" s="1">
        <f>F1696</f>
        <v>0</v>
      </c>
      <c r="G1705" s="1">
        <f t="shared" ref="G1705:K1705" si="1050">G1696</f>
        <v>0</v>
      </c>
      <c r="H1705" s="1">
        <f t="shared" si="1050"/>
        <v>0</v>
      </c>
      <c r="I1705" s="1">
        <f t="shared" si="1050"/>
        <v>0</v>
      </c>
      <c r="J1705" s="1">
        <f t="shared" si="1050"/>
        <v>1.9210195111377031E-6</v>
      </c>
      <c r="K1705" s="1">
        <f t="shared" si="1050"/>
        <v>5.9423579808010655E-5</v>
      </c>
    </row>
    <row r="1706" spans="2:11" x14ac:dyDescent="0.35">
      <c r="B1706" s="2" t="str">
        <f t="shared" si="1027"/>
        <v>SPS3</v>
      </c>
      <c r="C1706" s="2" t="str">
        <f t="shared" si="1048"/>
        <v>CH</v>
      </c>
      <c r="D1706" s="2" t="s">
        <v>1769</v>
      </c>
      <c r="E1706" s="2" t="s">
        <v>8</v>
      </c>
      <c r="F1706" s="3">
        <f>SUM(F1707:F1708,F1725,F1734:F1735,F1736,F1737,F1742,F1745,,F1750:F1753,F1746)</f>
        <v>963.44382401222038</v>
      </c>
      <c r="G1706" s="3">
        <f t="shared" ref="G1706:K1706" si="1051">SUM(G1707:G1708,G1725,G1734:G1735,G1736,G1737,G1742,G1745,,G1750:G1753,G1746)</f>
        <v>966.20085318645909</v>
      </c>
      <c r="H1706" s="3">
        <f t="shared" si="1051"/>
        <v>881.37338020002335</v>
      </c>
      <c r="I1706" s="3">
        <f t="shared" si="1051"/>
        <v>874.65537678458691</v>
      </c>
      <c r="J1706" s="3">
        <f t="shared" si="1051"/>
        <v>663.44446988756147</v>
      </c>
      <c r="K1706" s="3">
        <f t="shared" si="1051"/>
        <v>563.19673466420284</v>
      </c>
    </row>
    <row r="1707" spans="2:11" x14ac:dyDescent="0.35">
      <c r="B1707" t="str">
        <f t="shared" si="1027"/>
        <v>SPS3</v>
      </c>
      <c r="C1707" t="str">
        <f t="shared" ref="C1707" si="1052">C1706</f>
        <v>CH</v>
      </c>
      <c r="D1707" t="s">
        <v>1739</v>
      </c>
      <c r="E1707" t="str">
        <f>E1706</f>
        <v>PJ/yr.</v>
      </c>
      <c r="F1707" s="1">
        <f>F21</f>
        <v>3.660082646607993</v>
      </c>
      <c r="G1707" s="1">
        <f t="shared" ref="G1707:K1707" si="1053">G21</f>
        <v>3.5647399684575602</v>
      </c>
      <c r="H1707" s="1">
        <f t="shared" si="1053"/>
        <v>1.3942393462008706</v>
      </c>
      <c r="I1707" s="1">
        <f t="shared" si="1053"/>
        <v>9.6632042803424385E-5</v>
      </c>
      <c r="J1707" s="1">
        <f t="shared" si="1053"/>
        <v>1.1673944620316094E-4</v>
      </c>
      <c r="K1707" s="1">
        <f t="shared" si="1053"/>
        <v>8.4194731248640261E-6</v>
      </c>
    </row>
    <row r="1708" spans="2:11" x14ac:dyDescent="0.35">
      <c r="B1708" t="str">
        <f t="shared" si="1027"/>
        <v>SPS3</v>
      </c>
      <c r="C1708" t="str">
        <f t="shared" ref="C1708:C1760" si="1054">C1707</f>
        <v>CH</v>
      </c>
      <c r="D1708" t="s">
        <v>1740</v>
      </c>
      <c r="E1708" t="str">
        <f t="shared" ref="E1708:E1736" si="1055">E1707</f>
        <v>PJ/yr.</v>
      </c>
      <c r="F1708" s="1">
        <f t="shared" ref="F1708:K1734" si="1056">F22</f>
        <v>311.53315991627943</v>
      </c>
      <c r="G1708" s="1">
        <f t="shared" si="1056"/>
        <v>291.56945464919443</v>
      </c>
      <c r="H1708" s="1">
        <f t="shared" si="1056"/>
        <v>262.18900427282654</v>
      </c>
      <c r="I1708" s="1">
        <f t="shared" si="1056"/>
        <v>188.65267808583386</v>
      </c>
      <c r="J1708" s="1">
        <f t="shared" si="1056"/>
        <v>72.24243447815337</v>
      </c>
      <c r="K1708" s="1">
        <f t="shared" si="1056"/>
        <v>58.214098025670673</v>
      </c>
    </row>
    <row r="1709" spans="2:11" x14ac:dyDescent="0.35">
      <c r="B1709" t="str">
        <f t="shared" si="1027"/>
        <v>SPS3</v>
      </c>
      <c r="C1709" t="str">
        <f t="shared" si="1054"/>
        <v>CH</v>
      </c>
      <c r="D1709" t="s">
        <v>1741</v>
      </c>
      <c r="E1709" t="str">
        <f t="shared" si="1055"/>
        <v>PJ/yr.</v>
      </c>
      <c r="F1709" s="1">
        <f t="shared" si="1056"/>
        <v>304.86704878015018</v>
      </c>
      <c r="G1709" s="1">
        <f t="shared" si="1056"/>
        <v>284.79282089474157</v>
      </c>
      <c r="H1709" s="1">
        <f t="shared" si="1056"/>
        <v>254.89623585366141</v>
      </c>
      <c r="I1709" s="1">
        <f t="shared" si="1056"/>
        <v>177.18048862796553</v>
      </c>
      <c r="J1709" s="1">
        <f t="shared" si="1056"/>
        <v>40.734644805378196</v>
      </c>
      <c r="K1709" s="1">
        <f t="shared" si="1056"/>
        <v>0</v>
      </c>
    </row>
    <row r="1710" spans="2:11" x14ac:dyDescent="0.35">
      <c r="B1710" t="str">
        <f t="shared" si="1027"/>
        <v>SPS3</v>
      </c>
      <c r="C1710" t="str">
        <f t="shared" si="1054"/>
        <v>CH</v>
      </c>
      <c r="D1710" t="s">
        <v>1742</v>
      </c>
      <c r="E1710" t="str">
        <f t="shared" si="1055"/>
        <v>PJ/yr.</v>
      </c>
      <c r="F1710" s="1">
        <f t="shared" si="1056"/>
        <v>101.78018844605887</v>
      </c>
      <c r="G1710" s="1">
        <f t="shared" si="1056"/>
        <v>88.215372526159186</v>
      </c>
      <c r="H1710" s="1">
        <f t="shared" si="1056"/>
        <v>83.615009336030496</v>
      </c>
      <c r="I1710" s="1">
        <f t="shared" si="1056"/>
        <v>40.922146444130767</v>
      </c>
      <c r="J1710" s="1">
        <f t="shared" si="1056"/>
        <v>8.1877927508833537</v>
      </c>
      <c r="K1710" s="1">
        <f t="shared" si="1056"/>
        <v>0</v>
      </c>
    </row>
    <row r="1711" spans="2:11" x14ac:dyDescent="0.35">
      <c r="B1711" t="str">
        <f t="shared" si="1027"/>
        <v>SPS3</v>
      </c>
      <c r="C1711" t="str">
        <f t="shared" si="1054"/>
        <v>CH</v>
      </c>
      <c r="D1711" t="s">
        <v>1743</v>
      </c>
      <c r="E1711" t="str">
        <f t="shared" si="1055"/>
        <v>PJ/yr.</v>
      </c>
      <c r="F1711" s="1">
        <f t="shared" si="1056"/>
        <v>2.7764033086862567</v>
      </c>
      <c r="G1711" s="1">
        <f t="shared" si="1056"/>
        <v>2.7644347464614349</v>
      </c>
      <c r="H1711" s="1">
        <f t="shared" si="1056"/>
        <v>7.3640543000329291E-3</v>
      </c>
      <c r="I1711" s="1">
        <f t="shared" si="1056"/>
        <v>1.5550722699684348E-4</v>
      </c>
      <c r="J1711" s="1">
        <f t="shared" si="1056"/>
        <v>1.5383758877702948E-4</v>
      </c>
      <c r="K1711" s="1">
        <f t="shared" si="1056"/>
        <v>0</v>
      </c>
    </row>
    <row r="1712" spans="2:11" x14ac:dyDescent="0.35">
      <c r="B1712" t="str">
        <f t="shared" si="1027"/>
        <v>SPS3</v>
      </c>
      <c r="C1712" t="str">
        <f t="shared" si="1054"/>
        <v>CH</v>
      </c>
      <c r="D1712" t="s">
        <v>1744</v>
      </c>
      <c r="E1712" t="str">
        <f t="shared" si="1055"/>
        <v>PJ/yr.</v>
      </c>
      <c r="F1712" s="1">
        <f t="shared" si="1056"/>
        <v>120.33096316619769</v>
      </c>
      <c r="G1712" s="1">
        <f t="shared" si="1056"/>
        <v>112.68605144279373</v>
      </c>
      <c r="H1712" s="1">
        <f t="shared" si="1056"/>
        <v>97.453932545237222</v>
      </c>
      <c r="I1712" s="1">
        <f t="shared" si="1056"/>
        <v>72.505570219002138</v>
      </c>
      <c r="J1712" s="1">
        <f t="shared" si="1056"/>
        <v>26.594959967855349</v>
      </c>
      <c r="K1712" s="1">
        <f t="shared" si="1056"/>
        <v>0</v>
      </c>
    </row>
    <row r="1713" spans="2:11" x14ac:dyDescent="0.35">
      <c r="B1713" t="str">
        <f t="shared" si="1027"/>
        <v>SPS3</v>
      </c>
      <c r="C1713" t="str">
        <f t="shared" si="1054"/>
        <v>CH</v>
      </c>
      <c r="D1713" t="s">
        <v>1745</v>
      </c>
      <c r="E1713" t="str">
        <f t="shared" si="1055"/>
        <v>PJ/yr.</v>
      </c>
      <c r="F1713" s="1">
        <f t="shared" si="1056"/>
        <v>78.873041206646931</v>
      </c>
      <c r="G1713" s="1">
        <f t="shared" si="1056"/>
        <v>79.721754449683729</v>
      </c>
      <c r="H1713" s="1">
        <f t="shared" si="1056"/>
        <v>71.971096722564113</v>
      </c>
      <c r="I1713" s="1">
        <f t="shared" si="1056"/>
        <v>61.790684597925122</v>
      </c>
      <c r="J1713" s="1">
        <f t="shared" si="1056"/>
        <v>5.6038264681351722</v>
      </c>
      <c r="K1713" s="1">
        <f t="shared" si="1056"/>
        <v>0</v>
      </c>
    </row>
    <row r="1714" spans="2:11" x14ac:dyDescent="0.35">
      <c r="B1714" t="str">
        <f t="shared" si="1027"/>
        <v>SPS3</v>
      </c>
      <c r="C1714" t="str">
        <f t="shared" si="1054"/>
        <v>CH</v>
      </c>
      <c r="D1714" t="s">
        <v>1746</v>
      </c>
      <c r="E1714" t="str">
        <f t="shared" si="1055"/>
        <v>PJ/yr.</v>
      </c>
      <c r="F1714" s="1">
        <f t="shared" si="1056"/>
        <v>1.1064526525604343</v>
      </c>
      <c r="G1714" s="1">
        <f t="shared" si="1056"/>
        <v>1.4052077296434966</v>
      </c>
      <c r="H1714" s="1">
        <f t="shared" si="1056"/>
        <v>1.848833195529562</v>
      </c>
      <c r="I1714" s="1">
        <f t="shared" si="1056"/>
        <v>1.9619318596804993</v>
      </c>
      <c r="J1714" s="1">
        <f t="shared" si="1056"/>
        <v>0.34791178091554426</v>
      </c>
      <c r="K1714" s="1">
        <f t="shared" si="1056"/>
        <v>0</v>
      </c>
    </row>
    <row r="1715" spans="2:11" x14ac:dyDescent="0.35">
      <c r="B1715" t="str">
        <f t="shared" si="1027"/>
        <v>SPS3</v>
      </c>
      <c r="C1715" t="str">
        <f t="shared" si="1054"/>
        <v>CH</v>
      </c>
      <c r="D1715" t="s">
        <v>1747</v>
      </c>
      <c r="E1715" t="str">
        <f t="shared" si="1055"/>
        <v>PJ/yr.</v>
      </c>
      <c r="F1715" s="1">
        <f t="shared" si="1056"/>
        <v>6.6661111361292429</v>
      </c>
      <c r="G1715" s="1">
        <f t="shared" si="1056"/>
        <v>6.7766337544528508</v>
      </c>
      <c r="H1715" s="1">
        <f t="shared" si="1056"/>
        <v>7.2927684191651494</v>
      </c>
      <c r="I1715" s="1">
        <f t="shared" si="1056"/>
        <v>11.472189457868312</v>
      </c>
      <c r="J1715" s="1">
        <f t="shared" si="1056"/>
        <v>31.507789672775168</v>
      </c>
      <c r="K1715" s="1">
        <f t="shared" si="1056"/>
        <v>58.214098025670673</v>
      </c>
    </row>
    <row r="1716" spans="2:11" x14ac:dyDescent="0.35">
      <c r="B1716" t="str">
        <f t="shared" ref="B1716:B1779" si="1057">B1715</f>
        <v>SPS3</v>
      </c>
      <c r="C1716" t="str">
        <f t="shared" si="1054"/>
        <v>CH</v>
      </c>
      <c r="D1716" t="s">
        <v>1748</v>
      </c>
      <c r="E1716" t="str">
        <f t="shared" si="1055"/>
        <v>PJ/yr.</v>
      </c>
      <c r="F1716" s="1">
        <f t="shared" si="1056"/>
        <v>2.2319554715857581</v>
      </c>
      <c r="G1716" s="1">
        <f t="shared" si="1056"/>
        <v>2.3780156694800638</v>
      </c>
      <c r="H1716" s="1">
        <f t="shared" si="1056"/>
        <v>3.3303176327763899</v>
      </c>
      <c r="I1716" s="1">
        <f t="shared" si="1056"/>
        <v>7.1269316936849663</v>
      </c>
      <c r="J1716" s="1">
        <f t="shared" si="1056"/>
        <v>26.936675088590071</v>
      </c>
      <c r="K1716" s="1">
        <f t="shared" si="1056"/>
        <v>58.18727602668681</v>
      </c>
    </row>
    <row r="1717" spans="2:11" x14ac:dyDescent="0.35">
      <c r="B1717" t="str">
        <f t="shared" si="1057"/>
        <v>SPS3</v>
      </c>
      <c r="C1717" t="str">
        <f t="shared" si="1054"/>
        <v>CH</v>
      </c>
      <c r="D1717" t="s">
        <v>1749</v>
      </c>
      <c r="E1717" t="str">
        <f t="shared" si="1055"/>
        <v>PJ/yr.</v>
      </c>
      <c r="F1717" s="1">
        <f t="shared" si="1056"/>
        <v>4.4341556645434848</v>
      </c>
      <c r="G1717" s="1">
        <f t="shared" si="1056"/>
        <v>4.3986180849727869</v>
      </c>
      <c r="H1717" s="1">
        <f t="shared" si="1056"/>
        <v>3.962450786388759</v>
      </c>
      <c r="I1717" s="1">
        <f t="shared" si="1056"/>
        <v>4.3452577641833461</v>
      </c>
      <c r="J1717" s="1">
        <f t="shared" si="1056"/>
        <v>4.5711145841850946</v>
      </c>
      <c r="K1717" s="1">
        <f t="shared" si="1056"/>
        <v>2.6821998983863039E-2</v>
      </c>
    </row>
    <row r="1718" spans="2:11" x14ac:dyDescent="0.35">
      <c r="B1718" t="str">
        <f t="shared" si="1057"/>
        <v>SPS3</v>
      </c>
      <c r="C1718" t="str">
        <f t="shared" si="1054"/>
        <v>CH</v>
      </c>
      <c r="D1718" t="s">
        <v>1750</v>
      </c>
      <c r="E1718" t="str">
        <f t="shared" si="1055"/>
        <v>PJ/yr.</v>
      </c>
      <c r="F1718" s="1">
        <f t="shared" si="1056"/>
        <v>6.6661111361292429</v>
      </c>
      <c r="G1718" s="1">
        <f t="shared" si="1056"/>
        <v>6.7766337544528508</v>
      </c>
      <c r="H1718" s="1">
        <f t="shared" si="1056"/>
        <v>7.2927684191651494</v>
      </c>
      <c r="I1718" s="1">
        <f t="shared" si="1056"/>
        <v>11.472189457868312</v>
      </c>
      <c r="J1718" s="1">
        <f t="shared" si="1056"/>
        <v>11.561087358228452</v>
      </c>
      <c r="K1718" s="1">
        <f t="shared" si="1056"/>
        <v>26.963497087573934</v>
      </c>
    </row>
    <row r="1719" spans="2:11" x14ac:dyDescent="0.35">
      <c r="B1719" t="str">
        <f t="shared" si="1057"/>
        <v>SPS3</v>
      </c>
      <c r="C1719" t="str">
        <f t="shared" si="1054"/>
        <v>CH</v>
      </c>
      <c r="D1719" t="s">
        <v>1751</v>
      </c>
      <c r="E1719" t="str">
        <f t="shared" si="1055"/>
        <v>PJ/yr.</v>
      </c>
      <c r="F1719" s="1">
        <f t="shared" si="1056"/>
        <v>2.2319554715857581</v>
      </c>
      <c r="G1719" s="1">
        <f t="shared" si="1056"/>
        <v>2.3780156694800638</v>
      </c>
      <c r="H1719" s="1">
        <f t="shared" si="1056"/>
        <v>3.3303176327763899</v>
      </c>
      <c r="I1719" s="1">
        <f t="shared" si="1056"/>
        <v>7.1269316936849663</v>
      </c>
      <c r="J1719" s="1">
        <f t="shared" si="1056"/>
        <v>7.1269316936849663</v>
      </c>
      <c r="K1719" s="1">
        <f t="shared" si="1056"/>
        <v>26.936675088590071</v>
      </c>
    </row>
    <row r="1720" spans="2:11" x14ac:dyDescent="0.35">
      <c r="B1720" t="str">
        <f t="shared" si="1057"/>
        <v>SPS3</v>
      </c>
      <c r="C1720" t="str">
        <f t="shared" si="1054"/>
        <v>CH</v>
      </c>
      <c r="D1720" t="s">
        <v>1752</v>
      </c>
      <c r="E1720" t="str">
        <f t="shared" si="1055"/>
        <v>PJ/yr.</v>
      </c>
      <c r="F1720" s="1">
        <f t="shared" si="1056"/>
        <v>4.4341556645434848</v>
      </c>
      <c r="G1720" s="1">
        <f t="shared" si="1056"/>
        <v>4.3986180849727869</v>
      </c>
      <c r="H1720" s="1">
        <f t="shared" si="1056"/>
        <v>3.962450786388759</v>
      </c>
      <c r="I1720" s="1">
        <f t="shared" si="1056"/>
        <v>4.3452577641833461</v>
      </c>
      <c r="J1720" s="1">
        <f t="shared" si="1056"/>
        <v>4.4341556645434848</v>
      </c>
      <c r="K1720" s="1">
        <f t="shared" si="1056"/>
        <v>2.6821998983863039E-2</v>
      </c>
    </row>
    <row r="1721" spans="2:11" x14ac:dyDescent="0.35">
      <c r="B1721" t="str">
        <f t="shared" si="1057"/>
        <v>SPS3</v>
      </c>
      <c r="C1721" t="str">
        <f t="shared" si="1054"/>
        <v>CH</v>
      </c>
      <c r="D1721" t="s">
        <v>1753</v>
      </c>
      <c r="E1721" t="str">
        <f t="shared" si="1055"/>
        <v>PJ/yr.</v>
      </c>
      <c r="F1721" s="1">
        <f t="shared" si="1056"/>
        <v>0</v>
      </c>
      <c r="G1721" s="1">
        <f t="shared" si="1056"/>
        <v>0</v>
      </c>
      <c r="H1721" s="1">
        <f t="shared" si="1056"/>
        <v>0</v>
      </c>
      <c r="I1721" s="1">
        <f t="shared" si="1056"/>
        <v>0</v>
      </c>
      <c r="J1721" s="1">
        <f t="shared" si="1056"/>
        <v>19.946702314546716</v>
      </c>
      <c r="K1721" s="1">
        <f t="shared" si="1056"/>
        <v>31.250600938096738</v>
      </c>
    </row>
    <row r="1722" spans="2:11" x14ac:dyDescent="0.35">
      <c r="B1722" t="str">
        <f t="shared" si="1057"/>
        <v>SPS3</v>
      </c>
      <c r="C1722" t="str">
        <f t="shared" si="1054"/>
        <v>CH</v>
      </c>
      <c r="D1722" t="s">
        <v>1754</v>
      </c>
      <c r="E1722" t="str">
        <f t="shared" si="1055"/>
        <v>PJ/yr.</v>
      </c>
      <c r="F1722" s="1">
        <f t="shared" si="1056"/>
        <v>0</v>
      </c>
      <c r="G1722" s="1">
        <f t="shared" si="1056"/>
        <v>0</v>
      </c>
      <c r="H1722" s="1">
        <f t="shared" si="1056"/>
        <v>0</v>
      </c>
      <c r="I1722" s="1">
        <f t="shared" si="1056"/>
        <v>0</v>
      </c>
      <c r="J1722" s="1">
        <f t="shared" si="1056"/>
        <v>19.809743394905105</v>
      </c>
      <c r="K1722" s="1">
        <f t="shared" si="1056"/>
        <v>31.250600938096738</v>
      </c>
    </row>
    <row r="1723" spans="2:11" x14ac:dyDescent="0.35">
      <c r="B1723" t="str">
        <f t="shared" si="1057"/>
        <v>SPS3</v>
      </c>
      <c r="C1723" t="str">
        <f t="shared" si="1054"/>
        <v>CH</v>
      </c>
      <c r="D1723" t="s">
        <v>1755</v>
      </c>
      <c r="E1723" t="str">
        <f t="shared" si="1055"/>
        <v>PJ/yr.</v>
      </c>
      <c r="F1723" s="1">
        <f t="shared" si="1056"/>
        <v>0</v>
      </c>
      <c r="G1723" s="1">
        <f t="shared" si="1056"/>
        <v>0</v>
      </c>
      <c r="H1723" s="1">
        <f t="shared" si="1056"/>
        <v>0</v>
      </c>
      <c r="I1723" s="1">
        <f t="shared" si="1056"/>
        <v>0</v>
      </c>
      <c r="J1723" s="1">
        <f t="shared" si="1056"/>
        <v>0.13695891964160989</v>
      </c>
      <c r="K1723" s="1">
        <f t="shared" si="1056"/>
        <v>0</v>
      </c>
    </row>
    <row r="1724" spans="2:11" x14ac:dyDescent="0.35">
      <c r="B1724" t="str">
        <f t="shared" si="1057"/>
        <v>SPS3</v>
      </c>
      <c r="C1724" t="str">
        <f t="shared" si="1054"/>
        <v>CH</v>
      </c>
      <c r="D1724" t="s">
        <v>1756</v>
      </c>
      <c r="E1724" t="str">
        <f t="shared" si="1055"/>
        <v>PJ/yr.</v>
      </c>
      <c r="F1724" s="1">
        <f t="shared" si="1056"/>
        <v>0</v>
      </c>
      <c r="G1724" s="1">
        <f t="shared" si="1056"/>
        <v>0</v>
      </c>
      <c r="H1724" s="1">
        <f t="shared" si="1056"/>
        <v>0</v>
      </c>
      <c r="I1724" s="1">
        <f t="shared" si="1056"/>
        <v>0</v>
      </c>
      <c r="J1724" s="1">
        <f t="shared" si="1056"/>
        <v>0</v>
      </c>
      <c r="K1724" s="1">
        <f t="shared" si="1056"/>
        <v>0</v>
      </c>
    </row>
    <row r="1725" spans="2:11" x14ac:dyDescent="0.35">
      <c r="B1725" t="str">
        <f t="shared" si="1057"/>
        <v>SPS3</v>
      </c>
      <c r="C1725" t="str">
        <f t="shared" si="1054"/>
        <v>CH</v>
      </c>
      <c r="D1725" t="s">
        <v>1757</v>
      </c>
      <c r="E1725" t="str">
        <f t="shared" si="1055"/>
        <v>PJ/yr.</v>
      </c>
      <c r="F1725" s="1">
        <f t="shared" si="1056"/>
        <v>117.12552410147578</v>
      </c>
      <c r="G1725" s="1">
        <f t="shared" si="1056"/>
        <v>107.23652568805545</v>
      </c>
      <c r="H1725" s="1">
        <f t="shared" si="1056"/>
        <v>106.38968728554293</v>
      </c>
      <c r="I1725" s="1">
        <f t="shared" si="1056"/>
        <v>81.579394108057286</v>
      </c>
      <c r="J1725" s="1">
        <f t="shared" si="1056"/>
        <v>22.417944756058393</v>
      </c>
      <c r="K1725" s="1">
        <f t="shared" si="1056"/>
        <v>1.129726221579072E-4</v>
      </c>
    </row>
    <row r="1726" spans="2:11" x14ac:dyDescent="0.35">
      <c r="B1726" t="str">
        <f t="shared" si="1057"/>
        <v>SPS3</v>
      </c>
      <c r="C1726" t="str">
        <f t="shared" si="1054"/>
        <v>CH</v>
      </c>
      <c r="D1726" t="s">
        <v>1758</v>
      </c>
      <c r="E1726" t="str">
        <f t="shared" si="1055"/>
        <v>PJ/yr.</v>
      </c>
      <c r="F1726" s="1">
        <f t="shared" si="1056"/>
        <v>117.12552410147578</v>
      </c>
      <c r="G1726" s="1">
        <f t="shared" si="1056"/>
        <v>106.72001948820683</v>
      </c>
      <c r="H1726" s="1">
        <f t="shared" si="1056"/>
        <v>106.38930842511179</v>
      </c>
      <c r="I1726" s="1">
        <f t="shared" si="1056"/>
        <v>81.060549385641636</v>
      </c>
      <c r="J1726" s="1">
        <f t="shared" si="1056"/>
        <v>22.417684295710501</v>
      </c>
      <c r="K1726" s="1">
        <f t="shared" si="1056"/>
        <v>7.0771734935449253E-5</v>
      </c>
    </row>
    <row r="1727" spans="2:11" x14ac:dyDescent="0.35">
      <c r="B1727" t="str">
        <f t="shared" si="1057"/>
        <v>SPS3</v>
      </c>
      <c r="C1727" t="str">
        <f t="shared" si="1054"/>
        <v>CH</v>
      </c>
      <c r="D1727" t="s">
        <v>1759</v>
      </c>
      <c r="E1727" t="str">
        <f t="shared" si="1055"/>
        <v>PJ/yr.</v>
      </c>
      <c r="F1727" s="1">
        <f t="shared" si="1056"/>
        <v>117.12552410147578</v>
      </c>
      <c r="G1727" s="1">
        <f t="shared" si="1056"/>
        <v>106.72001948820683</v>
      </c>
      <c r="H1727" s="1">
        <f t="shared" si="1056"/>
        <v>106.38930842511179</v>
      </c>
      <c r="I1727" s="1">
        <f t="shared" si="1056"/>
        <v>81.057007277103466</v>
      </c>
      <c r="J1727" s="1">
        <f t="shared" si="1056"/>
        <v>22.413006510170504</v>
      </c>
      <c r="K1727" s="1">
        <f t="shared" si="1056"/>
        <v>2.7690680887371249E-5</v>
      </c>
    </row>
    <row r="1728" spans="2:11" x14ac:dyDescent="0.35">
      <c r="B1728" t="str">
        <f t="shared" si="1057"/>
        <v>SPS3</v>
      </c>
      <c r="C1728" t="str">
        <f t="shared" si="1054"/>
        <v>CH</v>
      </c>
      <c r="D1728" t="s">
        <v>1760</v>
      </c>
      <c r="E1728" t="str">
        <f t="shared" si="1055"/>
        <v>PJ/yr.</v>
      </c>
      <c r="F1728" s="1">
        <f t="shared" si="1056"/>
        <v>0</v>
      </c>
      <c r="G1728" s="1">
        <f t="shared" si="1056"/>
        <v>0</v>
      </c>
      <c r="H1728" s="1">
        <f t="shared" si="1056"/>
        <v>0</v>
      </c>
      <c r="I1728" s="1">
        <f t="shared" si="1056"/>
        <v>3.5421085381657771E-3</v>
      </c>
      <c r="J1728" s="1">
        <f t="shared" si="1056"/>
        <v>4.6777855399963743E-3</v>
      </c>
      <c r="K1728" s="1">
        <f t="shared" si="1056"/>
        <v>4.3081054048078008E-5</v>
      </c>
    </row>
    <row r="1729" spans="2:11" x14ac:dyDescent="0.35">
      <c r="B1729" t="str">
        <f t="shared" si="1057"/>
        <v>SPS3</v>
      </c>
      <c r="C1729" t="str">
        <f t="shared" si="1054"/>
        <v>CH</v>
      </c>
      <c r="D1729" t="s">
        <v>1761</v>
      </c>
      <c r="E1729" t="str">
        <f t="shared" si="1055"/>
        <v>PJ/yr.</v>
      </c>
      <c r="F1729" s="1">
        <f t="shared" si="1056"/>
        <v>0</v>
      </c>
      <c r="G1729" s="1">
        <f t="shared" si="1056"/>
        <v>0.51650619984861779</v>
      </c>
      <c r="H1729" s="1">
        <f t="shared" si="1056"/>
        <v>3.7886043113487445E-4</v>
      </c>
      <c r="I1729" s="1">
        <f t="shared" si="1056"/>
        <v>0.51884472241564439</v>
      </c>
      <c r="J1729" s="1">
        <f t="shared" si="1056"/>
        <v>2.6046034789199978E-4</v>
      </c>
      <c r="K1729" s="1">
        <f t="shared" si="1056"/>
        <v>4.2200887222457952E-5</v>
      </c>
    </row>
    <row r="1730" spans="2:11" x14ac:dyDescent="0.35">
      <c r="B1730" t="str">
        <f t="shared" si="1057"/>
        <v>SPS3</v>
      </c>
      <c r="C1730" t="str">
        <f t="shared" si="1054"/>
        <v>CH</v>
      </c>
      <c r="D1730" t="s">
        <v>1762</v>
      </c>
      <c r="E1730" t="str">
        <f t="shared" si="1055"/>
        <v>PJ/yr.</v>
      </c>
      <c r="F1730" s="1">
        <f t="shared" si="1056"/>
        <v>0</v>
      </c>
      <c r="G1730" s="1">
        <f t="shared" si="1056"/>
        <v>0.51650619984861779</v>
      </c>
      <c r="H1730" s="1">
        <f t="shared" si="1056"/>
        <v>3.7886043113487445E-4</v>
      </c>
      <c r="I1730" s="1">
        <f t="shared" si="1056"/>
        <v>0.51884472241564439</v>
      </c>
      <c r="J1730" s="1">
        <f t="shared" si="1056"/>
        <v>2.6046034789199978E-4</v>
      </c>
      <c r="K1730" s="1">
        <f t="shared" si="1056"/>
        <v>4.2200887222457952E-5</v>
      </c>
    </row>
    <row r="1731" spans="2:11" x14ac:dyDescent="0.35">
      <c r="B1731" t="str">
        <f t="shared" si="1057"/>
        <v>SPS3</v>
      </c>
      <c r="C1731" t="str">
        <f t="shared" si="1054"/>
        <v>CH</v>
      </c>
      <c r="D1731" t="s">
        <v>1763</v>
      </c>
      <c r="E1731" t="str">
        <f t="shared" si="1055"/>
        <v>PJ/yr.</v>
      </c>
      <c r="F1731" s="1">
        <f t="shared" si="1056"/>
        <v>0</v>
      </c>
      <c r="G1731" s="1">
        <f t="shared" si="1056"/>
        <v>0.51650619984861779</v>
      </c>
      <c r="H1731" s="1">
        <f t="shared" si="1056"/>
        <v>3.7886043113487445E-4</v>
      </c>
      <c r="I1731" s="1">
        <f t="shared" si="1056"/>
        <v>0.51884472241564439</v>
      </c>
      <c r="J1731" s="1">
        <f t="shared" si="1056"/>
        <v>2.6046034789199978E-4</v>
      </c>
      <c r="K1731" s="1">
        <f t="shared" si="1056"/>
        <v>4.2200887222457952E-5</v>
      </c>
    </row>
    <row r="1732" spans="2:11" x14ac:dyDescent="0.35">
      <c r="B1732" t="str">
        <f t="shared" si="1057"/>
        <v>SPS3</v>
      </c>
      <c r="C1732" t="str">
        <f t="shared" si="1054"/>
        <v>CH</v>
      </c>
      <c r="D1732" t="s">
        <v>1764</v>
      </c>
      <c r="E1732" t="str">
        <f t="shared" si="1055"/>
        <v>PJ/yr.</v>
      </c>
      <c r="F1732" s="1">
        <f t="shared" si="1056"/>
        <v>0</v>
      </c>
      <c r="G1732" s="1">
        <f t="shared" si="1056"/>
        <v>0</v>
      </c>
      <c r="H1732" s="1">
        <f t="shared" si="1056"/>
        <v>0</v>
      </c>
      <c r="I1732" s="1">
        <f t="shared" si="1056"/>
        <v>0</v>
      </c>
      <c r="J1732" s="1">
        <f t="shared" si="1056"/>
        <v>0</v>
      </c>
      <c r="K1732" s="1">
        <f t="shared" si="1056"/>
        <v>0</v>
      </c>
    </row>
    <row r="1733" spans="2:11" x14ac:dyDescent="0.35">
      <c r="B1733" t="str">
        <f t="shared" si="1057"/>
        <v>SPS3</v>
      </c>
      <c r="C1733" t="str">
        <f t="shared" si="1054"/>
        <v>CH</v>
      </c>
      <c r="D1733" t="s">
        <v>1765</v>
      </c>
      <c r="E1733" t="str">
        <f t="shared" si="1055"/>
        <v>PJ/yr.</v>
      </c>
      <c r="F1733" s="1">
        <f t="shared" si="1056"/>
        <v>0</v>
      </c>
      <c r="G1733" s="1">
        <f t="shared" si="1056"/>
        <v>0</v>
      </c>
      <c r="H1733" s="1">
        <f t="shared" si="1056"/>
        <v>0</v>
      </c>
      <c r="I1733" s="1">
        <f t="shared" si="1056"/>
        <v>0</v>
      </c>
      <c r="J1733" s="1">
        <f t="shared" si="1056"/>
        <v>0</v>
      </c>
      <c r="K1733" s="1">
        <f t="shared" si="1056"/>
        <v>0</v>
      </c>
    </row>
    <row r="1734" spans="2:11" x14ac:dyDescent="0.35">
      <c r="B1734" t="str">
        <f t="shared" si="1057"/>
        <v>SPS3</v>
      </c>
      <c r="C1734" t="str">
        <f t="shared" si="1054"/>
        <v>CH</v>
      </c>
      <c r="D1734" t="s">
        <v>1766</v>
      </c>
      <c r="E1734" t="str">
        <f t="shared" si="1055"/>
        <v>PJ/yr.</v>
      </c>
      <c r="F1734" s="1">
        <f t="shared" si="1056"/>
        <v>250.94826744103796</v>
      </c>
      <c r="G1734" s="1">
        <f t="shared" si="1056"/>
        <v>253.29990590548024</v>
      </c>
      <c r="H1734" s="1">
        <f t="shared" si="1056"/>
        <v>178.90894710635953</v>
      </c>
      <c r="I1734" s="1">
        <f t="shared" si="1056"/>
        <v>187.17138378703464</v>
      </c>
      <c r="J1734" s="1">
        <f t="shared" si="1056"/>
        <v>98.94571284362685</v>
      </c>
      <c r="K1734" s="1">
        <f t="shared" si="1056"/>
        <v>0</v>
      </c>
    </row>
    <row r="1735" spans="2:11" x14ac:dyDescent="0.35">
      <c r="B1735" t="str">
        <f t="shared" si="1057"/>
        <v>SPS3</v>
      </c>
      <c r="C1735" t="str">
        <f t="shared" si="1054"/>
        <v>CH</v>
      </c>
      <c r="D1735" t="s">
        <v>1767</v>
      </c>
      <c r="E1735" t="str">
        <f t="shared" si="1055"/>
        <v>PJ/yr.</v>
      </c>
      <c r="F1735" s="1">
        <f>-F56+F49</f>
        <v>-20.009992975333375</v>
      </c>
      <c r="G1735" s="1">
        <f t="shared" ref="G1735:K1735" si="1058">-G56+G49</f>
        <v>15.125796308177492</v>
      </c>
      <c r="H1735" s="1">
        <f t="shared" si="1058"/>
        <v>-4.3427474964464992</v>
      </c>
      <c r="I1735" s="1">
        <f t="shared" si="1058"/>
        <v>3.9526232029629682E-6</v>
      </c>
      <c r="J1735" s="1">
        <f t="shared" si="1058"/>
        <v>16.081858142185208</v>
      </c>
      <c r="K1735" s="1">
        <f t="shared" si="1058"/>
        <v>3.2115588908512613</v>
      </c>
    </row>
    <row r="1736" spans="2:11" x14ac:dyDescent="0.35">
      <c r="B1736" t="str">
        <f t="shared" si="1057"/>
        <v>SPS3</v>
      </c>
      <c r="C1736" t="str">
        <f t="shared" si="1054"/>
        <v>CH</v>
      </c>
      <c r="D1736" t="s">
        <v>1768</v>
      </c>
      <c r="E1736" t="str">
        <f t="shared" si="1055"/>
        <v>PJ/yr.</v>
      </c>
      <c r="F1736" s="1">
        <f>F54</f>
        <v>0</v>
      </c>
      <c r="G1736" s="1">
        <f t="shared" ref="G1736:K1736" si="1059">G54</f>
        <v>0</v>
      </c>
      <c r="H1736" s="1">
        <f t="shared" si="1059"/>
        <v>0</v>
      </c>
      <c r="I1736" s="1">
        <f t="shared" si="1059"/>
        <v>0</v>
      </c>
      <c r="J1736" s="1">
        <f t="shared" si="1059"/>
        <v>0</v>
      </c>
      <c r="K1736" s="1">
        <f t="shared" si="1059"/>
        <v>0</v>
      </c>
    </row>
    <row r="1737" spans="2:11" x14ac:dyDescent="0.35">
      <c r="B1737" t="str">
        <f t="shared" si="1057"/>
        <v>SPS3</v>
      </c>
      <c r="C1737" t="str">
        <f t="shared" si="1054"/>
        <v>CH</v>
      </c>
      <c r="D1737" t="s">
        <v>1770</v>
      </c>
      <c r="E1737" t="str">
        <f>E3</f>
        <v>PJ/yr.</v>
      </c>
      <c r="F1737" s="1">
        <f>F3</f>
        <v>44.972526655037584</v>
      </c>
      <c r="G1737" s="1">
        <f t="shared" ref="G1737:K1737" si="1060">G3</f>
        <v>47.710066292788355</v>
      </c>
      <c r="H1737" s="1">
        <f t="shared" si="1060"/>
        <v>47.710042852719312</v>
      </c>
      <c r="I1737" s="1">
        <f t="shared" si="1060"/>
        <v>47.710031235237075</v>
      </c>
      <c r="J1737" s="1">
        <f t="shared" si="1060"/>
        <v>47.710040242907894</v>
      </c>
      <c r="K1737" s="1">
        <f t="shared" si="1060"/>
        <v>48.190118417326886</v>
      </c>
    </row>
    <row r="1738" spans="2:11" x14ac:dyDescent="0.35">
      <c r="B1738" t="str">
        <f t="shared" si="1057"/>
        <v>SPS3</v>
      </c>
      <c r="C1738" t="str">
        <f t="shared" si="1054"/>
        <v>CH</v>
      </c>
      <c r="D1738" t="s">
        <v>1771</v>
      </c>
      <c r="E1738" t="str">
        <f t="shared" ref="E1738:F1738" si="1061">E4</f>
        <v>PJ/yr.</v>
      </c>
      <c r="F1738" s="1">
        <f t="shared" si="1061"/>
        <v>11.111898002755384</v>
      </c>
      <c r="G1738" s="1">
        <f t="shared" ref="G1738:K1738" si="1062">G4</f>
        <v>11.952901604723982</v>
      </c>
      <c r="H1738" s="1">
        <f t="shared" si="1062"/>
        <v>13.214399706696403</v>
      </c>
      <c r="I1738" s="1">
        <f t="shared" si="1062"/>
        <v>15.316917648506823</v>
      </c>
      <c r="J1738" s="1">
        <f t="shared" si="1062"/>
        <v>16.266401392692813</v>
      </c>
      <c r="K1738" s="1">
        <f t="shared" si="1062"/>
        <v>16.957002152774074</v>
      </c>
    </row>
    <row r="1739" spans="2:11" x14ac:dyDescent="0.35">
      <c r="B1739" t="str">
        <f t="shared" si="1057"/>
        <v>SPS3</v>
      </c>
      <c r="C1739" t="str">
        <f t="shared" si="1054"/>
        <v>CH</v>
      </c>
      <c r="D1739" t="s">
        <v>1772</v>
      </c>
      <c r="E1739" t="str">
        <f t="shared" ref="E1739:F1739" si="1063">E5</f>
        <v>PJ/yr.</v>
      </c>
      <c r="F1739" s="1">
        <f t="shared" si="1063"/>
        <v>7.5116912588402913</v>
      </c>
      <c r="G1739" s="1">
        <f t="shared" ref="G1739:K1739" si="1064">G5</f>
        <v>7.5431597323891841</v>
      </c>
      <c r="H1739" s="1">
        <f t="shared" si="1064"/>
        <v>7.590355216784717</v>
      </c>
      <c r="I1739" s="1">
        <f t="shared" si="1064"/>
        <v>7.6690357577480448</v>
      </c>
      <c r="J1739" s="1">
        <f t="shared" si="1064"/>
        <v>7.6690343301202475</v>
      </c>
      <c r="K1739" s="1">
        <f t="shared" si="1064"/>
        <v>7.6690366240042982</v>
      </c>
    </row>
    <row r="1740" spans="2:11" x14ac:dyDescent="0.35">
      <c r="B1740" t="str">
        <f t="shared" si="1057"/>
        <v>SPS3</v>
      </c>
      <c r="C1740" t="str">
        <f t="shared" si="1054"/>
        <v>CH</v>
      </c>
      <c r="D1740" t="s">
        <v>1773</v>
      </c>
      <c r="E1740" t="str">
        <f t="shared" ref="E1740:F1740" si="1065">E6</f>
        <v>PJ/yr.</v>
      </c>
      <c r="F1740" s="1">
        <f t="shared" si="1065"/>
        <v>3.1682653187081877</v>
      </c>
      <c r="G1740" s="1">
        <f t="shared" ref="G1740:K1740" si="1066">G6</f>
        <v>3.4956787240892297</v>
      </c>
      <c r="H1740" s="1">
        <f t="shared" si="1066"/>
        <v>3.9868213884616295</v>
      </c>
      <c r="I1740" s="1">
        <f t="shared" si="1066"/>
        <v>4.8053889315016818</v>
      </c>
      <c r="J1740" s="1">
        <f t="shared" si="1066"/>
        <v>4.805392713516178</v>
      </c>
      <c r="K1740" s="1">
        <f t="shared" si="1066"/>
        <v>4.8053892673449097</v>
      </c>
    </row>
    <row r="1741" spans="2:11" x14ac:dyDescent="0.35">
      <c r="B1741" t="str">
        <f t="shared" si="1057"/>
        <v>SPS3</v>
      </c>
      <c r="C1741" t="str">
        <f t="shared" si="1054"/>
        <v>CH</v>
      </c>
      <c r="D1741" t="s">
        <v>1774</v>
      </c>
      <c r="E1741" t="str">
        <f t="shared" ref="E1741:F1741" si="1067">E7</f>
        <v>PJ/yr.</v>
      </c>
      <c r="F1741" s="1">
        <f t="shared" si="1067"/>
        <v>23.180672074733721</v>
      </c>
      <c r="G1741" s="1">
        <f t="shared" ref="G1741:K1741" si="1068">G7</f>
        <v>24.718326231585955</v>
      </c>
      <c r="H1741" s="1">
        <f t="shared" si="1068"/>
        <v>22.918466540776564</v>
      </c>
      <c r="I1741" s="1">
        <f t="shared" si="1068"/>
        <v>19.918688897480525</v>
      </c>
      <c r="J1741" s="1">
        <f t="shared" si="1068"/>
        <v>18.969211806578652</v>
      </c>
      <c r="K1741" s="1">
        <f t="shared" si="1068"/>
        <v>18.758690373203606</v>
      </c>
    </row>
    <row r="1742" spans="2:11" x14ac:dyDescent="0.35">
      <c r="B1742" t="str">
        <f t="shared" si="1057"/>
        <v>SPS3</v>
      </c>
      <c r="C1742" t="str">
        <f t="shared" si="1054"/>
        <v>CH</v>
      </c>
      <c r="D1742" t="s">
        <v>1775</v>
      </c>
      <c r="E1742" t="str">
        <f t="shared" ref="E1742:F1742" si="1069">E8</f>
        <v>PJ/yr.</v>
      </c>
      <c r="F1742" s="1">
        <f t="shared" si="1069"/>
        <v>70.031666764684061</v>
      </c>
      <c r="G1742" s="1">
        <f t="shared" ref="G1742:K1742" si="1070">G8</f>
        <v>70.697020432916958</v>
      </c>
      <c r="H1742" s="1">
        <f t="shared" si="1070"/>
        <v>70.304087079386889</v>
      </c>
      <c r="I1742" s="1">
        <f t="shared" si="1070"/>
        <v>69.854564946963876</v>
      </c>
      <c r="J1742" s="1">
        <f t="shared" si="1070"/>
        <v>74.776081270107639</v>
      </c>
      <c r="K1742" s="1">
        <f t="shared" si="1070"/>
        <v>78.277376838856128</v>
      </c>
    </row>
    <row r="1743" spans="2:11" x14ac:dyDescent="0.35">
      <c r="B1743" t="str">
        <f t="shared" si="1057"/>
        <v>SPS3</v>
      </c>
      <c r="C1743" t="str">
        <f t="shared" si="1054"/>
        <v>CH</v>
      </c>
      <c r="D1743" t="s">
        <v>1776</v>
      </c>
      <c r="E1743" t="str">
        <f t="shared" ref="E1743:F1743" si="1071">E9</f>
        <v>PJ/yr.</v>
      </c>
      <c r="F1743" s="1">
        <f t="shared" si="1071"/>
        <v>35.931183248765272</v>
      </c>
      <c r="G1743" s="1">
        <f t="shared" ref="G1743:K1743" si="1072">G9</f>
        <v>35.882407124617565</v>
      </c>
      <c r="H1743" s="1">
        <f t="shared" si="1072"/>
        <v>35.489472343636578</v>
      </c>
      <c r="I1743" s="1">
        <f t="shared" si="1072"/>
        <v>35.03996117505806</v>
      </c>
      <c r="J1743" s="1">
        <f t="shared" si="1072"/>
        <v>35.511078649678595</v>
      </c>
      <c r="K1743" s="1">
        <f t="shared" si="1072"/>
        <v>35.959241596083366</v>
      </c>
    </row>
    <row r="1744" spans="2:11" x14ac:dyDescent="0.35">
      <c r="B1744" t="str">
        <f t="shared" si="1057"/>
        <v>SPS3</v>
      </c>
      <c r="C1744" t="str">
        <f t="shared" si="1054"/>
        <v>CH</v>
      </c>
      <c r="D1744" t="s">
        <v>1777</v>
      </c>
      <c r="E1744" t="str">
        <f t="shared" ref="E1744:F1744" si="1073">E10</f>
        <v>PJ/yr.</v>
      </c>
      <c r="F1744" s="1">
        <f t="shared" si="1073"/>
        <v>34.100483515918789</v>
      </c>
      <c r="G1744" s="1">
        <f t="shared" ref="G1744:K1744" si="1074">G10</f>
        <v>34.8146133082994</v>
      </c>
      <c r="H1744" s="1">
        <f t="shared" si="1074"/>
        <v>34.814614735750311</v>
      </c>
      <c r="I1744" s="1">
        <f t="shared" si="1074"/>
        <v>34.814603771905816</v>
      </c>
      <c r="J1744" s="1">
        <f t="shared" si="1074"/>
        <v>39.265002620429044</v>
      </c>
      <c r="K1744" s="1">
        <f t="shared" si="1074"/>
        <v>42.318135242772769</v>
      </c>
    </row>
    <row r="1745" spans="2:11" x14ac:dyDescent="0.35">
      <c r="B1745" t="str">
        <f t="shared" si="1057"/>
        <v>SPS3</v>
      </c>
      <c r="C1745" t="str">
        <f t="shared" si="1054"/>
        <v>CH</v>
      </c>
      <c r="D1745" t="s">
        <v>1778</v>
      </c>
      <c r="E1745" t="str">
        <f t="shared" ref="E1745:F1745" si="1075">E11</f>
        <v>PJ/yr.</v>
      </c>
      <c r="F1745" s="1">
        <f t="shared" si="1075"/>
        <v>3.7981272755403661</v>
      </c>
      <c r="G1745" s="1">
        <f t="shared" ref="G1745:K1745" si="1076">G11</f>
        <v>12.540463163667923</v>
      </c>
      <c r="H1745" s="1">
        <f t="shared" si="1076"/>
        <v>12.540462853242218</v>
      </c>
      <c r="I1745" s="1">
        <f t="shared" si="1076"/>
        <v>12.540446232075002</v>
      </c>
      <c r="J1745" s="1">
        <f t="shared" si="1076"/>
        <v>17.360317016608789</v>
      </c>
      <c r="K1745" s="1">
        <f t="shared" si="1076"/>
        <v>27.000022953618931</v>
      </c>
    </row>
    <row r="1746" spans="2:11" x14ac:dyDescent="0.35">
      <c r="B1746" t="str">
        <f t="shared" si="1057"/>
        <v>SPS3</v>
      </c>
      <c r="C1746" t="str">
        <f t="shared" si="1054"/>
        <v>CH</v>
      </c>
      <c r="D1746" t="s">
        <v>1779</v>
      </c>
      <c r="E1746" t="str">
        <f t="shared" ref="E1746:F1746" si="1077">E12</f>
        <v>PJ/yr.</v>
      </c>
      <c r="F1746" s="1">
        <f t="shared" si="1077"/>
        <v>149.43050371769465</v>
      </c>
      <c r="G1746" s="1">
        <f t="shared" ref="G1746:K1746" si="1078">G12</f>
        <v>125.60910293594793</v>
      </c>
      <c r="H1746" s="1">
        <f t="shared" si="1078"/>
        <v>141.33591684913807</v>
      </c>
      <c r="I1746" s="1">
        <f t="shared" si="1078"/>
        <v>190.54837782849512</v>
      </c>
      <c r="J1746" s="1">
        <f t="shared" si="1078"/>
        <v>152.08346292293933</v>
      </c>
      <c r="K1746" s="1">
        <f t="shared" si="1078"/>
        <v>152.52844378020325</v>
      </c>
    </row>
    <row r="1747" spans="2:11" x14ac:dyDescent="0.35">
      <c r="B1747" t="str">
        <f t="shared" si="1057"/>
        <v>SPS3</v>
      </c>
      <c r="C1747" t="str">
        <f t="shared" si="1054"/>
        <v>CH</v>
      </c>
      <c r="D1747" t="s">
        <v>1780</v>
      </c>
      <c r="E1747" t="str">
        <f t="shared" ref="E1747:F1747" si="1079">E13</f>
        <v>PJ/yr.</v>
      </c>
      <c r="F1747" s="1">
        <f t="shared" si="1079"/>
        <v>66.745680641565826</v>
      </c>
      <c r="G1747" s="1">
        <f t="shared" ref="G1747:K1747" si="1080">G13</f>
        <v>49.798798233586048</v>
      </c>
      <c r="H1747" s="1">
        <f t="shared" si="1080"/>
        <v>68.746652836090433</v>
      </c>
      <c r="I1747" s="1">
        <f t="shared" si="1080"/>
        <v>69.707980460873983</v>
      </c>
      <c r="J1747" s="1">
        <f t="shared" si="1080"/>
        <v>72.137441602012373</v>
      </c>
      <c r="K1747" s="1">
        <f t="shared" si="1080"/>
        <v>68.851436972761888</v>
      </c>
    </row>
    <row r="1748" spans="2:11" x14ac:dyDescent="0.35">
      <c r="B1748" t="str">
        <f t="shared" si="1057"/>
        <v>SPS3</v>
      </c>
      <c r="C1748" t="str">
        <f t="shared" si="1054"/>
        <v>CH</v>
      </c>
      <c r="D1748" t="s">
        <v>1781</v>
      </c>
      <c r="E1748" t="str">
        <f t="shared" ref="E1748:F1748" si="1081">E14</f>
        <v>PJ/yr.</v>
      </c>
      <c r="F1748" s="1">
        <f t="shared" si="1081"/>
        <v>66.632408674137309</v>
      </c>
      <c r="G1748" s="1">
        <f t="shared" ref="G1748:K1748" si="1082">G14</f>
        <v>55.764006095374093</v>
      </c>
      <c r="H1748" s="1">
        <f t="shared" si="1082"/>
        <v>65.562601078116302</v>
      </c>
      <c r="I1748" s="1">
        <f t="shared" si="1082"/>
        <v>64.934024586346183</v>
      </c>
      <c r="J1748" s="1">
        <f t="shared" si="1082"/>
        <v>63.848999302683723</v>
      </c>
      <c r="K1748" s="1">
        <f t="shared" si="1082"/>
        <v>67.134993866464811</v>
      </c>
    </row>
    <row r="1749" spans="2:11" x14ac:dyDescent="0.35">
      <c r="B1749" t="str">
        <f t="shared" si="1057"/>
        <v>SPS3</v>
      </c>
      <c r="C1749" t="str">
        <f t="shared" si="1054"/>
        <v>CH</v>
      </c>
      <c r="D1749" t="s">
        <v>1782</v>
      </c>
      <c r="E1749" t="str">
        <f t="shared" ref="E1749:F1749" si="1083">E15</f>
        <v>PJ/yr.</v>
      </c>
      <c r="F1749" s="1">
        <f t="shared" si="1083"/>
        <v>16.052414401991513</v>
      </c>
      <c r="G1749" s="1">
        <f t="shared" ref="G1749:K1749" si="1084">G15</f>
        <v>20.04629860698779</v>
      </c>
      <c r="H1749" s="1">
        <f t="shared" si="1084"/>
        <v>7.0266629349313163</v>
      </c>
      <c r="I1749" s="1">
        <f t="shared" si="1084"/>
        <v>55.906372781274968</v>
      </c>
      <c r="J1749" s="1">
        <f t="shared" si="1084"/>
        <v>16.097022018243219</v>
      </c>
      <c r="K1749" s="1">
        <f t="shared" si="1084"/>
        <v>16.542012940976548</v>
      </c>
    </row>
    <row r="1750" spans="2:11" x14ac:dyDescent="0.35">
      <c r="B1750" t="str">
        <f t="shared" si="1057"/>
        <v>SPS3</v>
      </c>
      <c r="C1750" t="str">
        <f t="shared" si="1054"/>
        <v>CH</v>
      </c>
      <c r="D1750" t="s">
        <v>1783</v>
      </c>
      <c r="E1750" t="str">
        <f t="shared" ref="E1750:F1750" si="1085">E16</f>
        <v>PJ/yr.</v>
      </c>
      <c r="F1750" s="1">
        <f t="shared" si="1085"/>
        <v>12.55659643484937</v>
      </c>
      <c r="G1750" s="1">
        <f t="shared" ref="G1750:K1750" si="1086">G16</f>
        <v>16.523694144355883</v>
      </c>
      <c r="H1750" s="1">
        <f t="shared" si="1086"/>
        <v>30.509165791213494</v>
      </c>
      <c r="I1750" s="1">
        <f t="shared" si="1086"/>
        <v>35.879014601464739</v>
      </c>
      <c r="J1750" s="1">
        <f t="shared" si="1086"/>
        <v>66.288291446417077</v>
      </c>
      <c r="K1750" s="1">
        <f t="shared" si="1086"/>
        <v>96.031483337980831</v>
      </c>
    </row>
    <row r="1751" spans="2:11" x14ac:dyDescent="0.35">
      <c r="B1751" t="str">
        <f t="shared" si="1057"/>
        <v>SPS3</v>
      </c>
      <c r="C1751" t="str">
        <f t="shared" si="1054"/>
        <v>CH</v>
      </c>
      <c r="D1751" t="s">
        <v>1784</v>
      </c>
      <c r="E1751" t="str">
        <f t="shared" ref="E1751:F1751" si="1087">E17</f>
        <v>PJ/yr.</v>
      </c>
      <c r="F1751" s="1">
        <f t="shared" si="1087"/>
        <v>0.52405024088074226</v>
      </c>
      <c r="G1751" s="1">
        <f t="shared" ref="G1751:K1751" si="1088">G17</f>
        <v>0.54529958225622155</v>
      </c>
      <c r="H1751" s="1">
        <f t="shared" si="1088"/>
        <v>0.50317218339118619</v>
      </c>
      <c r="I1751" s="1">
        <f t="shared" si="1088"/>
        <v>2.0503093034361277</v>
      </c>
      <c r="J1751" s="1">
        <f t="shared" si="1088"/>
        <v>3.5228653144660571</v>
      </c>
      <c r="K1751" s="1">
        <f t="shared" si="1088"/>
        <v>6.1200322237821512</v>
      </c>
    </row>
    <row r="1752" spans="2:11" x14ac:dyDescent="0.35">
      <c r="B1752" t="str">
        <f t="shared" si="1057"/>
        <v>SPS3</v>
      </c>
      <c r="C1752" t="str">
        <f t="shared" si="1054"/>
        <v>CH</v>
      </c>
      <c r="D1752" t="s">
        <v>1785</v>
      </c>
      <c r="E1752" t="str">
        <f t="shared" ref="E1752:F1752" si="1089">E18</f>
        <v>PJ/yr.</v>
      </c>
      <c r="F1752" s="1">
        <f t="shared" si="1089"/>
        <v>18.873311793466101</v>
      </c>
      <c r="G1752" s="1">
        <f t="shared" ref="G1752:K1752" si="1090">G18</f>
        <v>21.778784115160573</v>
      </c>
      <c r="H1752" s="1">
        <f t="shared" si="1090"/>
        <v>33.931402076448762</v>
      </c>
      <c r="I1752" s="1">
        <f t="shared" si="1090"/>
        <v>58.66907607132292</v>
      </c>
      <c r="J1752" s="1">
        <f t="shared" si="1090"/>
        <v>88.987106944074867</v>
      </c>
      <c r="K1752" s="1">
        <f t="shared" si="1090"/>
        <v>87.572869151665998</v>
      </c>
    </row>
    <row r="1753" spans="2:11" x14ac:dyDescent="0.35">
      <c r="B1753" t="str">
        <f t="shared" si="1057"/>
        <v>SPS3</v>
      </c>
      <c r="C1753" t="str">
        <f t="shared" si="1054"/>
        <v>CH</v>
      </c>
      <c r="D1753" t="s">
        <v>1786</v>
      </c>
      <c r="E1753" t="str">
        <f t="shared" ref="E1753:F1753" si="1091">E19</f>
        <v>PJ/yr.</v>
      </c>
      <c r="F1753" s="1">
        <f t="shared" si="1091"/>
        <v>0</v>
      </c>
      <c r="G1753" s="1">
        <f t="shared" ref="G1753:K1753" si="1092">G19</f>
        <v>0</v>
      </c>
      <c r="H1753" s="1">
        <f t="shared" si="1092"/>
        <v>0</v>
      </c>
      <c r="I1753" s="1">
        <f t="shared" si="1092"/>
        <v>0</v>
      </c>
      <c r="J1753" s="1">
        <f t="shared" si="1092"/>
        <v>3.0282377705697998</v>
      </c>
      <c r="K1753" s="1">
        <f t="shared" si="1092"/>
        <v>6.050609652151496</v>
      </c>
    </row>
    <row r="1754" spans="2:11" x14ac:dyDescent="0.35">
      <c r="B1754" s="9" t="str">
        <f t="shared" si="1057"/>
        <v>SPS3</v>
      </c>
      <c r="C1754" s="2" t="str">
        <f t="shared" si="1054"/>
        <v>CH</v>
      </c>
      <c r="D1754" s="2" t="s">
        <v>1789</v>
      </c>
      <c r="E1754" s="2" t="s">
        <v>1858</v>
      </c>
      <c r="F1754" s="3">
        <f t="shared" ref="F1754:K1754" si="1093">SUM(F1755,F1757,F1761,F1765,F1781,F1788,F1796,F1798,F1806,F1810,F1804)</f>
        <v>22.359867980152824</v>
      </c>
      <c r="G1754" s="3">
        <f t="shared" si="1093"/>
        <v>24.392456062140674</v>
      </c>
      <c r="H1754" s="3">
        <f t="shared" si="1093"/>
        <v>28.913371170918094</v>
      </c>
      <c r="I1754" s="3">
        <f t="shared" si="1093"/>
        <v>29.287046696700511</v>
      </c>
      <c r="J1754" s="3">
        <f t="shared" si="1093"/>
        <v>37.854096126417438</v>
      </c>
      <c r="K1754" s="3">
        <f t="shared" si="1093"/>
        <v>47.350961701131915</v>
      </c>
    </row>
    <row r="1755" spans="2:11" x14ac:dyDescent="0.35">
      <c r="B1755" s="5" t="str">
        <f t="shared" si="1057"/>
        <v>SPS3</v>
      </c>
      <c r="C1755" s="5" t="str">
        <f t="shared" si="1054"/>
        <v>CH</v>
      </c>
      <c r="D1755" t="s">
        <v>1791</v>
      </c>
      <c r="E1755" t="str">
        <f>E1754</f>
        <v>GWe/yr.</v>
      </c>
      <c r="F1755" s="1">
        <f>+F1756</f>
        <v>3.0805584755879307</v>
      </c>
      <c r="G1755" s="1">
        <f t="shared" ref="G1755:K1755" si="1094">+G1756</f>
        <v>3.0805573845841887</v>
      </c>
      <c r="H1755" s="1">
        <f t="shared" si="1094"/>
        <v>2.3583396216238746</v>
      </c>
      <c r="I1755" s="1">
        <f t="shared" si="1094"/>
        <v>2.3421729741058583</v>
      </c>
      <c r="J1755" s="1">
        <f t="shared" si="1094"/>
        <v>1.2356854331844427</v>
      </c>
      <c r="K1755" s="1">
        <f t="shared" si="1094"/>
        <v>0</v>
      </c>
    </row>
    <row r="1756" spans="2:11" x14ac:dyDescent="0.35">
      <c r="B1756" s="5" t="str">
        <f t="shared" si="1057"/>
        <v>SPS3</v>
      </c>
      <c r="C1756" s="5" t="str">
        <f t="shared" si="1054"/>
        <v>CH</v>
      </c>
      <c r="D1756" t="s">
        <v>1792</v>
      </c>
      <c r="E1756" t="str">
        <f t="shared" ref="E1756:E1817" si="1095">E1755</f>
        <v>GWe/yr.</v>
      </c>
      <c r="F1756" s="1">
        <f>'[1]Electricity and CHPs_CAP'!B$14</f>
        <v>3.0805584755879307</v>
      </c>
      <c r="G1756" s="1">
        <f>'[1]Electricity and CHPs_CAP'!C$14</f>
        <v>3.0805573845841887</v>
      </c>
      <c r="H1756" s="1">
        <f>'[1]Electricity and CHPs_CAP'!D$14</f>
        <v>2.3583396216238746</v>
      </c>
      <c r="I1756" s="1">
        <f>'[1]Electricity and CHPs_CAP'!E$14</f>
        <v>2.3421729741058583</v>
      </c>
      <c r="J1756" s="1">
        <f>'[1]Electricity and CHPs_CAP'!F$14</f>
        <v>1.2356854331844427</v>
      </c>
      <c r="K1756" s="1">
        <f>'[1]Electricity and CHPs_CAP'!G$14</f>
        <v>0</v>
      </c>
    </row>
    <row r="1757" spans="2:11" x14ac:dyDescent="0.35">
      <c r="B1757" s="5" t="str">
        <f t="shared" si="1057"/>
        <v>SPS3</v>
      </c>
      <c r="C1757" s="5" t="str">
        <f t="shared" si="1054"/>
        <v>CH</v>
      </c>
      <c r="D1757" t="s">
        <v>1793</v>
      </c>
      <c r="E1757" t="str">
        <f t="shared" si="1095"/>
        <v>GWe/yr.</v>
      </c>
      <c r="F1757" s="1">
        <f>SUM(F1758:F1760)</f>
        <v>15.403610001059999</v>
      </c>
      <c r="G1757" s="1">
        <f t="shared" ref="G1757:K1757" si="1096">SUM(G1758:G1760)</f>
        <v>16.154769270348023</v>
      </c>
      <c r="H1757" s="1">
        <f t="shared" si="1096"/>
        <v>16.597349650939666</v>
      </c>
      <c r="I1757" s="1">
        <f t="shared" si="1096"/>
        <v>16.668979825007085</v>
      </c>
      <c r="J1757" s="1">
        <f t="shared" si="1096"/>
        <v>16.732922051969602</v>
      </c>
      <c r="K1757" s="1">
        <f t="shared" si="1096"/>
        <v>17.414138998447839</v>
      </c>
    </row>
    <row r="1758" spans="2:11" x14ac:dyDescent="0.35">
      <c r="B1758" s="5" t="str">
        <f t="shared" si="1057"/>
        <v>SPS3</v>
      </c>
      <c r="C1758" s="5" t="str">
        <f t="shared" si="1054"/>
        <v>CH</v>
      </c>
      <c r="D1758" t="s">
        <v>1794</v>
      </c>
      <c r="E1758" t="str">
        <f t="shared" si="1095"/>
        <v>GWe/yr.</v>
      </c>
      <c r="F1758" s="1">
        <f>'[1]Electricity and CHPs_CAP'!B$15</f>
        <v>7.3394300010600002</v>
      </c>
      <c r="G1758" s="1">
        <f>'[1]Electricity and CHPs_CAP'!C$15</f>
        <v>7.3750203627567172</v>
      </c>
      <c r="H1758" s="1">
        <f>'[1]Electricity and CHPs_CAP'!D$15</f>
        <v>7.3750414617757771</v>
      </c>
      <c r="I1758" s="1">
        <f>'[1]Electricity and CHPs_CAP'!E$15</f>
        <v>7.4159841062070653</v>
      </c>
      <c r="J1758" s="1">
        <f>'[1]Electricity and CHPs_CAP'!F$15</f>
        <v>7.4162116907306865</v>
      </c>
      <c r="K1758" s="1">
        <f>'[1]Electricity and CHPs_CAP'!G$15</f>
        <v>7.7286128917725678</v>
      </c>
    </row>
    <row r="1759" spans="2:11" x14ac:dyDescent="0.35">
      <c r="B1759" s="5" t="str">
        <f t="shared" si="1057"/>
        <v>SPS3</v>
      </c>
      <c r="C1759" s="5" t="str">
        <f t="shared" si="1054"/>
        <v>CH</v>
      </c>
      <c r="D1759" t="s">
        <v>1795</v>
      </c>
      <c r="E1759" t="str">
        <f t="shared" si="1095"/>
        <v>GWe/yr.</v>
      </c>
      <c r="F1759" s="1">
        <f>'[1]Electricity and CHPs_CAP'!B$16</f>
        <v>4.7247299999999992</v>
      </c>
      <c r="G1759" s="1">
        <f>'[1]Electricity and CHPs_CAP'!C$16</f>
        <v>4.8082017405396726</v>
      </c>
      <c r="H1759" s="1">
        <f>'[1]Electricity and CHPs_CAP'!D$16</f>
        <v>4.8623399682333073</v>
      </c>
      <c r="I1759" s="1">
        <f>'[1]Electricity and CHPs_CAP'!E$16</f>
        <v>4.8930274978694364</v>
      </c>
      <c r="J1759" s="1">
        <f>'[1]Electricity and CHPs_CAP'!F$16</f>
        <v>4.9567418335984241</v>
      </c>
      <c r="K1759" s="1">
        <f>'[1]Electricity and CHPs_CAP'!G$16</f>
        <v>5.3248712409371368</v>
      </c>
    </row>
    <row r="1760" spans="2:11" x14ac:dyDescent="0.35">
      <c r="B1760" s="5" t="str">
        <f t="shared" si="1057"/>
        <v>SPS3</v>
      </c>
      <c r="C1760" s="5" t="str">
        <f t="shared" si="1054"/>
        <v>CH</v>
      </c>
      <c r="D1760" t="s">
        <v>1796</v>
      </c>
      <c r="E1760" t="str">
        <f t="shared" si="1095"/>
        <v>GWe/yr.</v>
      </c>
      <c r="F1760" s="1">
        <f>'[1]Electricity and CHPs_CAP'!B$17</f>
        <v>3.3394499999999998</v>
      </c>
      <c r="G1760" s="1">
        <f>'[1]Electricity and CHPs_CAP'!C$17</f>
        <v>3.9715471670516318</v>
      </c>
      <c r="H1760" s="1">
        <f>'[1]Electricity and CHPs_CAP'!D$17</f>
        <v>4.3599682209305817</v>
      </c>
      <c r="I1760" s="1">
        <f>'[1]Electricity and CHPs_CAP'!E$17</f>
        <v>4.3599682209305817</v>
      </c>
      <c r="J1760" s="1">
        <f>'[1]Electricity and CHPs_CAP'!F$17</f>
        <v>4.3599685276404925</v>
      </c>
      <c r="K1760" s="1">
        <f>'[1]Electricity and CHPs_CAP'!G$17</f>
        <v>4.360654865738133</v>
      </c>
    </row>
    <row r="1761" spans="2:11" x14ac:dyDescent="0.35">
      <c r="B1761" s="5" t="str">
        <f t="shared" si="1057"/>
        <v>SPS3</v>
      </c>
      <c r="C1761" s="5" t="str">
        <f>C1752</f>
        <v>CH</v>
      </c>
      <c r="D1761" t="s">
        <v>1797</v>
      </c>
      <c r="E1761" t="str">
        <f t="shared" si="1095"/>
        <v>GWe/yr.</v>
      </c>
      <c r="F1761" s="1">
        <f>SUM(F1762:F1764)</f>
        <v>3.6498475309560179E-2</v>
      </c>
      <c r="G1761" s="1">
        <f t="shared" ref="G1761:K1761" si="1097">SUM(G1762:G1764)</f>
        <v>3.5987926684891064E-2</v>
      </c>
      <c r="H1761" s="1">
        <f t="shared" si="1097"/>
        <v>3.7657486379324076E-2</v>
      </c>
      <c r="I1761" s="1">
        <f t="shared" si="1097"/>
        <v>4.4978930765871054E-2</v>
      </c>
      <c r="J1761" s="1">
        <f t="shared" si="1097"/>
        <v>3.7831995552755654E-2</v>
      </c>
      <c r="K1761" s="1">
        <f t="shared" si="1097"/>
        <v>1.7860479170570029E-2</v>
      </c>
    </row>
    <row r="1762" spans="2:11" x14ac:dyDescent="0.35">
      <c r="B1762" s="5" t="str">
        <f t="shared" si="1057"/>
        <v>SPS3</v>
      </c>
      <c r="C1762" s="5" t="str">
        <f>C1761</f>
        <v>CH</v>
      </c>
      <c r="D1762" t="s">
        <v>1798</v>
      </c>
      <c r="E1762" t="str">
        <f t="shared" si="1095"/>
        <v>GWe/yr.</v>
      </c>
      <c r="F1762" s="1">
        <f>'[1]Electricity and CHPs_CAP'!B$18</f>
        <v>2.3747503931703301E-2</v>
      </c>
      <c r="G1762" s="1">
        <f>'[1]Electricity and CHPs_CAP'!C$18</f>
        <v>2.2970241588085694E-2</v>
      </c>
      <c r="H1762" s="1">
        <f>'[1]Electricity and CHPs_CAP'!D$18</f>
        <v>2.4727102538203101E-2</v>
      </c>
      <c r="I1762" s="1">
        <f>'[1]Electricity and CHPs_CAP'!E$18</f>
        <v>1.9362950150428323E-2</v>
      </c>
      <c r="J1762" s="1">
        <f>'[1]Electricity and CHPs_CAP'!F$18</f>
        <v>3.6146775324435096E-2</v>
      </c>
      <c r="K1762" s="1">
        <f>'[1]Electricity and CHPs_CAP'!G$18</f>
        <v>1.7401456951092669E-2</v>
      </c>
    </row>
    <row r="1763" spans="2:11" x14ac:dyDescent="0.35">
      <c r="B1763" s="5" t="str">
        <f t="shared" si="1057"/>
        <v>SPS3</v>
      </c>
      <c r="C1763" s="5" t="str">
        <f t="shared" ref="C1763:C1764" si="1098">C1762</f>
        <v>CH</v>
      </c>
      <c r="D1763" t="s">
        <v>1799</v>
      </c>
      <c r="E1763" t="str">
        <f t="shared" si="1095"/>
        <v>GWe/yr.</v>
      </c>
      <c r="F1763" s="1">
        <f>'[1]Electricity and CHPs_CAP'!B$28</f>
        <v>4.4473643099610409E-3</v>
      </c>
      <c r="G1763" s="1">
        <f>'[1]Electricity and CHPs_CAP'!C$28</f>
        <v>2.3070334556202221E-3</v>
      </c>
      <c r="H1763" s="1">
        <f>'[1]Electricity and CHPs_CAP'!D$28</f>
        <v>2.1385152353832395E-3</v>
      </c>
      <c r="I1763" s="1">
        <f>'[1]Electricity and CHPs_CAP'!E$28</f>
        <v>8.5128079929060879E-4</v>
      </c>
      <c r="J1763" s="1">
        <f>'[1]Electricity and CHPs_CAP'!F$28</f>
        <v>2.4890417090595539E-4</v>
      </c>
      <c r="K1763" s="1">
        <f>'[1]Electricity and CHPs_CAP'!G$28</f>
        <v>1.4206823777813843E-4</v>
      </c>
    </row>
    <row r="1764" spans="2:11" x14ac:dyDescent="0.35">
      <c r="B1764" s="5" t="str">
        <f t="shared" si="1057"/>
        <v>SPS3</v>
      </c>
      <c r="C1764" s="5" t="str">
        <f t="shared" si="1098"/>
        <v>CH</v>
      </c>
      <c r="D1764" t="s">
        <v>1800</v>
      </c>
      <c r="E1764" t="str">
        <f t="shared" si="1095"/>
        <v>GWe/yr.</v>
      </c>
      <c r="F1764" s="1">
        <f>'[1]Electricity and CHPs_CAP'!B$41</f>
        <v>8.3036070678958376E-3</v>
      </c>
      <c r="G1764" s="1">
        <f>'[1]Electricity and CHPs_CAP'!C$41</f>
        <v>1.071065164118515E-2</v>
      </c>
      <c r="H1764" s="1">
        <f>'[1]Electricity and CHPs_CAP'!D$41</f>
        <v>1.0791868605737734E-2</v>
      </c>
      <c r="I1764" s="1">
        <f>'[1]Electricity and CHPs_CAP'!E$41</f>
        <v>2.4764699816152123E-2</v>
      </c>
      <c r="J1764" s="1">
        <f>'[1]Electricity and CHPs_CAP'!F$41</f>
        <v>1.4363160574146008E-3</v>
      </c>
      <c r="K1764" s="1">
        <f>'[1]Electricity and CHPs_CAP'!G$41</f>
        <v>3.1695398169922021E-4</v>
      </c>
    </row>
    <row r="1765" spans="2:11" x14ac:dyDescent="0.35">
      <c r="B1765" s="5" t="str">
        <f t="shared" si="1057"/>
        <v>SPS3</v>
      </c>
      <c r="C1765" s="5" t="str">
        <f>C1764</f>
        <v>CH</v>
      </c>
      <c r="D1765" t="s">
        <v>1801</v>
      </c>
      <c r="E1765" t="str">
        <f t="shared" si="1095"/>
        <v>GWe/yr.</v>
      </c>
      <c r="F1765" s="1">
        <f>SUM(F1766:F1780)</f>
        <v>0.22753449940235443</v>
      </c>
      <c r="G1765" s="1">
        <f t="shared" ref="G1765:K1765" si="1099">SUM(G1766:G1780)</f>
        <v>0.15318125875632491</v>
      </c>
      <c r="H1765" s="1">
        <f t="shared" si="1099"/>
        <v>0.10565869796037229</v>
      </c>
      <c r="I1765" s="1">
        <f t="shared" si="1099"/>
        <v>0.22695363380864281</v>
      </c>
      <c r="J1765" s="1">
        <f t="shared" si="1099"/>
        <v>0.64731962585278158</v>
      </c>
      <c r="K1765" s="1">
        <f t="shared" si="1099"/>
        <v>0.32846097581000211</v>
      </c>
    </row>
    <row r="1766" spans="2:11" x14ac:dyDescent="0.35">
      <c r="B1766" s="5" t="str">
        <f t="shared" si="1057"/>
        <v>SPS3</v>
      </c>
      <c r="C1766" s="5" t="str">
        <f t="shared" ref="C1766:C1779" si="1100">C1765</f>
        <v>CH</v>
      </c>
      <c r="D1766" t="s">
        <v>1802</v>
      </c>
      <c r="E1766" t="str">
        <f t="shared" si="1095"/>
        <v>GWe/yr.</v>
      </c>
      <c r="F1766" s="1">
        <f>'[1]Electricity and CHPs_CAP'!B$21</f>
        <v>0</v>
      </c>
      <c r="G1766" s="1">
        <f>'[1]Electricity and CHPs_CAP'!C$21</f>
        <v>0</v>
      </c>
      <c r="H1766" s="1">
        <f>'[1]Electricity and CHPs_CAP'!D$21</f>
        <v>0</v>
      </c>
      <c r="I1766" s="1">
        <f>'[1]Electricity and CHPs_CAP'!E$21</f>
        <v>0</v>
      </c>
      <c r="J1766" s="1">
        <f>'[1]Electricity and CHPs_CAP'!F$21</f>
        <v>1.8677065959692301E-4</v>
      </c>
      <c r="K1766" s="1">
        <f>'[1]Electricity and CHPs_CAP'!G$21</f>
        <v>3.86080978241913E-4</v>
      </c>
    </row>
    <row r="1767" spans="2:11" x14ac:dyDescent="0.35">
      <c r="B1767" s="5" t="str">
        <f t="shared" si="1057"/>
        <v>SPS3</v>
      </c>
      <c r="C1767" s="5" t="str">
        <f t="shared" si="1100"/>
        <v>CH</v>
      </c>
      <c r="D1767" t="s">
        <v>1803</v>
      </c>
      <c r="E1767" t="str">
        <f t="shared" si="1095"/>
        <v>GWe/yr.</v>
      </c>
      <c r="F1767" s="1">
        <f>'[1]Electricity and CHPs_CAP'!B$22</f>
        <v>0</v>
      </c>
      <c r="G1767" s="1">
        <f>'[1]Electricity and CHPs_CAP'!C$22</f>
        <v>0</v>
      </c>
      <c r="H1767" s="1">
        <f>'[1]Electricity and CHPs_CAP'!D$22</f>
        <v>0</v>
      </c>
      <c r="I1767" s="1">
        <f>'[1]Electricity and CHPs_CAP'!E$22</f>
        <v>2.7355977092485399E-3</v>
      </c>
      <c r="J1767" s="1">
        <f>'[1]Electricity and CHPs_CAP'!F$22</f>
        <v>4.9932272238443071E-3</v>
      </c>
      <c r="K1767" s="1">
        <f>'[1]Electricity and CHPs_CAP'!G$22</f>
        <v>4.3317790795943242E-3</v>
      </c>
    </row>
    <row r="1768" spans="2:11" x14ac:dyDescent="0.35">
      <c r="B1768" s="5" t="str">
        <f t="shared" si="1057"/>
        <v>SPS3</v>
      </c>
      <c r="C1768" s="5" t="str">
        <f t="shared" si="1100"/>
        <v>CH</v>
      </c>
      <c r="D1768" t="s">
        <v>1804</v>
      </c>
      <c r="E1768" t="str">
        <f t="shared" si="1095"/>
        <v>GWe/yr.</v>
      </c>
      <c r="F1768" s="1">
        <f>'[1]Electricity and CHPs_CAP'!B$23</f>
        <v>0</v>
      </c>
      <c r="G1768" s="1">
        <f>'[1]Electricity and CHPs_CAP'!C$23</f>
        <v>0</v>
      </c>
      <c r="H1768" s="1">
        <f>'[1]Electricity and CHPs_CAP'!D$23</f>
        <v>0</v>
      </c>
      <c r="I1768" s="1">
        <f>'[1]Electricity and CHPs_CAP'!E$23</f>
        <v>0</v>
      </c>
      <c r="J1768" s="1">
        <f>'[1]Electricity and CHPs_CAP'!F$23</f>
        <v>1.00383413872426E-4</v>
      </c>
      <c r="K1768" s="1">
        <f>'[1]Electricity and CHPs_CAP'!G$23</f>
        <v>2.8425345918143399E-2</v>
      </c>
    </row>
    <row r="1769" spans="2:11" x14ac:dyDescent="0.35">
      <c r="B1769" s="5" t="str">
        <f t="shared" si="1057"/>
        <v>SPS3</v>
      </c>
      <c r="C1769" s="5" t="str">
        <f t="shared" si="1100"/>
        <v>CH</v>
      </c>
      <c r="D1769" t="s">
        <v>1805</v>
      </c>
      <c r="E1769" t="str">
        <f t="shared" si="1095"/>
        <v>GWe/yr.</v>
      </c>
      <c r="F1769" s="1">
        <f>'[1]Electricity and CHPs_CAP'!B$24</f>
        <v>4.9792916606342996E-2</v>
      </c>
      <c r="G1769" s="1">
        <f>'[1]Electricity and CHPs_CAP'!C$24</f>
        <v>1.7506896726396382E-4</v>
      </c>
      <c r="H1769" s="1">
        <f>'[1]Electricity and CHPs_CAP'!D$24</f>
        <v>8.3078831727673164E-4</v>
      </c>
      <c r="I1769" s="1">
        <f>'[1]Electricity and CHPs_CAP'!E$24</f>
        <v>2.0294048915864282E-4</v>
      </c>
      <c r="J1769" s="1">
        <f>'[1]Electricity and CHPs_CAP'!F$24</f>
        <v>2.076236850148699E-4</v>
      </c>
      <c r="K1769" s="1">
        <f>'[1]Electricity and CHPs_CAP'!G$24</f>
        <v>1.8440511245115503E-5</v>
      </c>
    </row>
    <row r="1770" spans="2:11" x14ac:dyDescent="0.35">
      <c r="B1770" s="5" t="str">
        <f t="shared" si="1057"/>
        <v>SPS3</v>
      </c>
      <c r="C1770" s="5" t="str">
        <f t="shared" si="1100"/>
        <v>CH</v>
      </c>
      <c r="D1770" t="s">
        <v>1806</v>
      </c>
      <c r="E1770" t="str">
        <f t="shared" si="1095"/>
        <v>GWe/yr.</v>
      </c>
      <c r="F1770" s="1">
        <f>'[1]Electricity and CHPs_CAP'!B$29</f>
        <v>0</v>
      </c>
      <c r="G1770" s="1">
        <f>'[1]Electricity and CHPs_CAP'!C$29</f>
        <v>0</v>
      </c>
      <c r="H1770" s="1">
        <f>'[1]Electricity and CHPs_CAP'!D$29</f>
        <v>0</v>
      </c>
      <c r="I1770" s="1">
        <f>'[1]Electricity and CHPs_CAP'!E$29</f>
        <v>0</v>
      </c>
      <c r="J1770" s="1">
        <f>'[1]Electricity and CHPs_CAP'!F$29</f>
        <v>1.0964637484447501E-2</v>
      </c>
      <c r="K1770" s="1">
        <f>'[1]Electricity and CHPs_CAP'!G$29</f>
        <v>4.2100946525899102E-5</v>
      </c>
    </row>
    <row r="1771" spans="2:11" x14ac:dyDescent="0.35">
      <c r="B1771" s="5" t="str">
        <f t="shared" si="1057"/>
        <v>SPS3</v>
      </c>
      <c r="C1771" s="5" t="str">
        <f t="shared" si="1100"/>
        <v>CH</v>
      </c>
      <c r="D1771" t="s">
        <v>1807</v>
      </c>
      <c r="E1771" t="str">
        <f t="shared" si="1095"/>
        <v>GWe/yr.</v>
      </c>
      <c r="F1771" s="1">
        <f>'[1]Electricity and CHPs_CAP'!B$39</f>
        <v>2.6323929641722504E-2</v>
      </c>
      <c r="G1771" s="1">
        <f>'[1]Electricity and CHPs_CAP'!C$39</f>
        <v>1.9497317432681932E-2</v>
      </c>
      <c r="H1771" s="1">
        <f>'[1]Electricity and CHPs_CAP'!D$39</f>
        <v>1.2460011987398316E-2</v>
      </c>
      <c r="I1771" s="1">
        <f>'[1]Electricity and CHPs_CAP'!E$39</f>
        <v>5.8850052372145991E-3</v>
      </c>
      <c r="J1771" s="1">
        <f>'[1]Electricity and CHPs_CAP'!F$39</f>
        <v>1.2940977463535E-3</v>
      </c>
      <c r="K1771" s="1">
        <f>'[1]Electricity and CHPs_CAP'!G$39</f>
        <v>1.8808115306320891E-4</v>
      </c>
    </row>
    <row r="1772" spans="2:11" x14ac:dyDescent="0.35">
      <c r="B1772" s="5" t="str">
        <f t="shared" si="1057"/>
        <v>SPS3</v>
      </c>
      <c r="C1772" s="5" t="str">
        <f t="shared" si="1100"/>
        <v>CH</v>
      </c>
      <c r="D1772" t="s">
        <v>1808</v>
      </c>
      <c r="E1772" t="str">
        <f t="shared" si="1095"/>
        <v>GWe/yr.</v>
      </c>
      <c r="F1772" s="1">
        <f>'[1]Electricity and CHPs_CAP'!B$40</f>
        <v>0</v>
      </c>
      <c r="G1772" s="1">
        <f>'[1]Electricity and CHPs_CAP'!C$40</f>
        <v>0</v>
      </c>
      <c r="H1772" s="1">
        <f>'[1]Electricity and CHPs_CAP'!D$40</f>
        <v>0</v>
      </c>
      <c r="I1772" s="1">
        <f>'[1]Electricity and CHPs_CAP'!E$40</f>
        <v>0</v>
      </c>
      <c r="J1772" s="1">
        <f>'[1]Electricity and CHPs_CAP'!F$40</f>
        <v>7.3424459817592998E-5</v>
      </c>
      <c r="K1772" s="1">
        <f>'[1]Electricity and CHPs_CAP'!G$40</f>
        <v>1.2249671335952579E-4</v>
      </c>
    </row>
    <row r="1773" spans="2:11" x14ac:dyDescent="0.35">
      <c r="B1773" s="5" t="str">
        <f t="shared" si="1057"/>
        <v>SPS3</v>
      </c>
      <c r="C1773" s="5" t="str">
        <f t="shared" si="1100"/>
        <v>CH</v>
      </c>
      <c r="D1773" t="s">
        <v>1809</v>
      </c>
      <c r="E1773" t="str">
        <f t="shared" si="1095"/>
        <v>GWe/yr.</v>
      </c>
      <c r="F1773" s="1">
        <f>'[1]Electricity and CHPs_CAP'!B$47</f>
        <v>0</v>
      </c>
      <c r="G1773" s="1">
        <f>'[1]Electricity and CHPs_CAP'!C$47</f>
        <v>0</v>
      </c>
      <c r="H1773" s="1">
        <f>'[1]Electricity and CHPs_CAP'!D$47</f>
        <v>0</v>
      </c>
      <c r="I1773" s="1">
        <f>'[1]Electricity and CHPs_CAP'!E$47</f>
        <v>0</v>
      </c>
      <c r="J1773" s="1">
        <f>'[1]Electricity and CHPs_CAP'!F$47</f>
        <v>2.412943253515972E-4</v>
      </c>
      <c r="K1773" s="1">
        <f>'[1]Electricity and CHPs_CAP'!G$47</f>
        <v>2.1759369980168698E-4</v>
      </c>
    </row>
    <row r="1774" spans="2:11" x14ac:dyDescent="0.35">
      <c r="B1774" s="5" t="str">
        <f t="shared" si="1057"/>
        <v>SPS3</v>
      </c>
      <c r="C1774" s="5" t="str">
        <f t="shared" si="1100"/>
        <v>CH</v>
      </c>
      <c r="D1774" t="s">
        <v>1810</v>
      </c>
      <c r="E1774" t="str">
        <f t="shared" si="1095"/>
        <v>GWe/yr.</v>
      </c>
      <c r="F1774" s="1">
        <f>'[1]Electricity and CHPs_CAP'!B$48</f>
        <v>4.1525701586821121E-3</v>
      </c>
      <c r="G1774" s="1">
        <f>'[1]Electricity and CHPs_CAP'!C$48</f>
        <v>4.6310699639616937E-4</v>
      </c>
      <c r="H1774" s="1">
        <f>'[1]Electricity and CHPs_CAP'!D$48</f>
        <v>6.6798272389262891E-4</v>
      </c>
      <c r="I1774" s="1">
        <f>'[1]Electricity and CHPs_CAP'!E$48</f>
        <v>7.4970388812410399E-4</v>
      </c>
      <c r="J1774" s="1">
        <f>'[1]Electricity and CHPs_CAP'!F$48</f>
        <v>4.5940701050901038E-4</v>
      </c>
      <c r="K1774" s="1">
        <f>'[1]Electricity and CHPs_CAP'!G$48</f>
        <v>3.30612624096014E-5</v>
      </c>
    </row>
    <row r="1775" spans="2:11" x14ac:dyDescent="0.35">
      <c r="B1775" s="5" t="str">
        <f t="shared" si="1057"/>
        <v>SPS3</v>
      </c>
      <c r="C1775" s="5" t="str">
        <f t="shared" si="1100"/>
        <v>CH</v>
      </c>
      <c r="D1775" t="s">
        <v>1811</v>
      </c>
      <c r="E1775" t="str">
        <f t="shared" si="1095"/>
        <v>GWe/yr.</v>
      </c>
      <c r="F1775" s="1">
        <f>'[1]Electricity and CHPs_CAP'!B$49</f>
        <v>0</v>
      </c>
      <c r="G1775" s="1">
        <f>'[1]Electricity and CHPs_CAP'!C$49</f>
        <v>0</v>
      </c>
      <c r="H1775" s="1">
        <f>'[1]Electricity and CHPs_CAP'!D$49</f>
        <v>0</v>
      </c>
      <c r="I1775" s="1">
        <f>'[1]Electricity and CHPs_CAP'!E$49</f>
        <v>6.9301687251229402E-5</v>
      </c>
      <c r="J1775" s="1">
        <f>'[1]Electricity and CHPs_CAP'!F$49</f>
        <v>1.6120699922683244E-4</v>
      </c>
      <c r="K1775" s="1">
        <f>'[1]Electricity and CHPs_CAP'!G$49</f>
        <v>7.2226194262221919E-5</v>
      </c>
    </row>
    <row r="1776" spans="2:11" x14ac:dyDescent="0.35">
      <c r="B1776" s="5" t="str">
        <f t="shared" si="1057"/>
        <v>SPS3</v>
      </c>
      <c r="C1776" s="5" t="str">
        <f t="shared" si="1100"/>
        <v>CH</v>
      </c>
      <c r="D1776" t="s">
        <v>1812</v>
      </c>
      <c r="E1776" t="str">
        <f t="shared" si="1095"/>
        <v>GWe/yr.</v>
      </c>
      <c r="F1776" s="1">
        <f>'[1]Electricity and CHPs_CAP'!B$51</f>
        <v>8.5537919737408413E-3</v>
      </c>
      <c r="G1776" s="1">
        <f>'[1]Electricity and CHPs_CAP'!C$51</f>
        <v>4.1899055532422156E-4</v>
      </c>
      <c r="H1776" s="1">
        <f>'[1]Electricity and CHPs_CAP'!D$51</f>
        <v>1.4417346534852586E-3</v>
      </c>
      <c r="I1776" s="1">
        <f>'[1]Electricity and CHPs_CAP'!E$51</f>
        <v>0.12707088616178433</v>
      </c>
      <c r="J1776" s="1">
        <f>'[1]Electricity and CHPs_CAP'!F$51</f>
        <v>8.1329744343207638E-2</v>
      </c>
      <c r="K1776" s="1">
        <f>'[1]Electricity and CHPs_CAP'!G$51</f>
        <v>3.829492551229996E-5</v>
      </c>
    </row>
    <row r="1777" spans="2:11" x14ac:dyDescent="0.35">
      <c r="B1777" s="5" t="str">
        <f t="shared" si="1057"/>
        <v>SPS3</v>
      </c>
      <c r="C1777" s="5" t="str">
        <f t="shared" si="1100"/>
        <v>CH</v>
      </c>
      <c r="D1777" t="s">
        <v>1813</v>
      </c>
      <c r="E1777" t="str">
        <f t="shared" si="1095"/>
        <v>GWe/yr.</v>
      </c>
      <c r="F1777" s="1">
        <f>'[1]Electricity and CHPs_CAP'!B$52</f>
        <v>0</v>
      </c>
      <c r="G1777" s="1">
        <f>'[1]Electricity and CHPs_CAP'!C$52</f>
        <v>0</v>
      </c>
      <c r="H1777" s="1">
        <f>'[1]Electricity and CHPs_CAP'!D$52</f>
        <v>0</v>
      </c>
      <c r="I1777" s="1">
        <f>'[1]Electricity and CHPs_CAP'!E$52</f>
        <v>3.8143794892232401E-4</v>
      </c>
      <c r="J1777" s="1">
        <f>'[1]Electricity and CHPs_CAP'!F$52</f>
        <v>0.10922234117151705</v>
      </c>
      <c r="K1777" s="1">
        <f>'[1]Electricity and CHPs_CAP'!G$52</f>
        <v>1.9645575627730283E-4</v>
      </c>
    </row>
    <row r="1778" spans="2:11" x14ac:dyDescent="0.35">
      <c r="B1778" s="5" t="str">
        <f t="shared" si="1057"/>
        <v>SPS3</v>
      </c>
      <c r="C1778" s="5" t="str">
        <f t="shared" si="1100"/>
        <v>CH</v>
      </c>
      <c r="D1778" t="s">
        <v>1814</v>
      </c>
      <c r="E1778" t="str">
        <f t="shared" si="1095"/>
        <v>GWe/yr.</v>
      </c>
      <c r="F1778" s="1">
        <f>'[1]Electricity and CHPs_CAP'!B$54</f>
        <v>7.3511881396442533E-2</v>
      </c>
      <c r="G1778" s="1">
        <f>'[1]Electricity and CHPs_CAP'!C$54</f>
        <v>8.4745772867377833E-2</v>
      </c>
      <c r="H1778" s="1">
        <f>'[1]Electricity and CHPs_CAP'!D$54</f>
        <v>8.8799640384554859E-2</v>
      </c>
      <c r="I1778" s="1">
        <f>'[1]Electricity and CHPs_CAP'!E$54</f>
        <v>8.8802086910126685E-2</v>
      </c>
      <c r="J1778" s="1">
        <f>'[1]Electricity and CHPs_CAP'!F$54</f>
        <v>0.4378344440606865</v>
      </c>
      <c r="K1778" s="1">
        <f>'[1]Electricity and CHPs_CAP'!G$54</f>
        <v>0.29428314931198218</v>
      </c>
    </row>
    <row r="1779" spans="2:11" x14ac:dyDescent="0.35">
      <c r="B1779" s="5" t="str">
        <f t="shared" si="1057"/>
        <v>SPS3</v>
      </c>
      <c r="C1779" s="5" t="str">
        <f t="shared" si="1100"/>
        <v>CH</v>
      </c>
      <c r="D1779" t="s">
        <v>1815</v>
      </c>
      <c r="E1779" t="str">
        <f t="shared" si="1095"/>
        <v>GWe/yr.</v>
      </c>
      <c r="F1779" s="1">
        <f>'[1]Electricity and CHPs_CAP'!B$55</f>
        <v>6.5199409625423407E-2</v>
      </c>
      <c r="G1779" s="1">
        <f>'[1]Electricity and CHPs_CAP'!C$55</f>
        <v>4.788100193728078E-2</v>
      </c>
      <c r="H1779" s="1">
        <f>'[1]Electricity and CHPs_CAP'!D$55</f>
        <v>1.4585398937645017E-3</v>
      </c>
      <c r="I1779" s="1">
        <f>'[1]Electricity and CHPs_CAP'!E$55</f>
        <v>9.8199918317379981E-4</v>
      </c>
      <c r="J1779" s="1">
        <f>'[1]Electricity and CHPs_CAP'!F$55</f>
        <v>4.3647641582600372E-5</v>
      </c>
      <c r="K1779" s="1">
        <f>'[1]Electricity and CHPs_CAP'!G$55</f>
        <v>3.9022978585436175E-5</v>
      </c>
    </row>
    <row r="1780" spans="2:11" x14ac:dyDescent="0.35">
      <c r="B1780" s="5" t="str">
        <f t="shared" ref="B1780:B1843" si="1101">B1779</f>
        <v>SPS3</v>
      </c>
      <c r="C1780" s="5" t="str">
        <f t="shared" ref="C1780" si="1102">C1779</f>
        <v>CH</v>
      </c>
      <c r="D1780" t="s">
        <v>1816</v>
      </c>
      <c r="E1780" t="str">
        <f t="shared" si="1095"/>
        <v>GWe/yr.</v>
      </c>
      <c r="F1780" s="1">
        <f>'[1]Electricity and CHPs_CAP'!B$58</f>
        <v>0</v>
      </c>
      <c r="G1780" s="1">
        <f>'[1]Electricity and CHPs_CAP'!C$58</f>
        <v>0</v>
      </c>
      <c r="H1780" s="1">
        <f>'[1]Electricity and CHPs_CAP'!D$58</f>
        <v>0</v>
      </c>
      <c r="I1780" s="1">
        <f>'[1]Electricity and CHPs_CAP'!E$58</f>
        <v>7.4674593638540801E-5</v>
      </c>
      <c r="J1780" s="1">
        <f>'[1]Electricity and CHPs_CAP'!F$58</f>
        <v>2.0737562775316199E-4</v>
      </c>
      <c r="K1780" s="1">
        <f>'[1]Electricity and CHPs_CAP'!G$58</f>
        <v>6.6846380998021371E-5</v>
      </c>
    </row>
    <row r="1781" spans="2:11" x14ac:dyDescent="0.35">
      <c r="B1781" s="5" t="str">
        <f t="shared" si="1101"/>
        <v>SPS3</v>
      </c>
      <c r="C1781" s="5" t="str">
        <f>C1780</f>
        <v>CH</v>
      </c>
      <c r="D1781" t="s">
        <v>1817</v>
      </c>
      <c r="E1781" t="str">
        <f t="shared" si="1095"/>
        <v>GWe/yr.</v>
      </c>
      <c r="F1781" s="1">
        <f>SUM(F1782:F1787)</f>
        <v>0.43242522619238155</v>
      </c>
      <c r="G1781" s="1">
        <f t="shared" ref="G1781:K1781" si="1103">SUM(G1782:G1787)</f>
        <v>0.39072318991269395</v>
      </c>
      <c r="H1781" s="1">
        <f t="shared" si="1103"/>
        <v>0.39020169697955287</v>
      </c>
      <c r="I1781" s="1">
        <f t="shared" si="1103"/>
        <v>0.36004445148341574</v>
      </c>
      <c r="J1781" s="1">
        <f t="shared" si="1103"/>
        <v>0.38530841076394029</v>
      </c>
      <c r="K1781" s="1">
        <f t="shared" si="1103"/>
        <v>0.52484675794637092</v>
      </c>
    </row>
    <row r="1782" spans="2:11" x14ac:dyDescent="0.35">
      <c r="B1782" s="5" t="str">
        <f t="shared" si="1101"/>
        <v>SPS3</v>
      </c>
      <c r="C1782" s="5" t="str">
        <f t="shared" ref="C1782:C1787" si="1104">C1781</f>
        <v>CH</v>
      </c>
      <c r="D1782" t="s">
        <v>1818</v>
      </c>
      <c r="E1782" t="str">
        <f t="shared" si="1095"/>
        <v>GWe/yr.</v>
      </c>
      <c r="F1782" s="1">
        <f>'[1]Electricity and CHPs_CAP'!B$19</f>
        <v>0.30587155596318022</v>
      </c>
      <c r="G1782" s="1">
        <f>'[1]Electricity and CHPs_CAP'!C$19</f>
        <v>0.30586696919522094</v>
      </c>
      <c r="H1782" s="1">
        <f>'[1]Electricity and CHPs_CAP'!D$19</f>
        <v>0.30586021122318746</v>
      </c>
      <c r="I1782" s="1">
        <f>'[1]Electricity and CHPs_CAP'!E$19</f>
        <v>0.27599289766152679</v>
      </c>
      <c r="J1782" s="1">
        <f>'[1]Electricity and CHPs_CAP'!F$19</f>
        <v>0.30103237068741978</v>
      </c>
      <c r="K1782" s="1">
        <f>'[1]Electricity and CHPs_CAP'!G$19</f>
        <v>0.18727981324294232</v>
      </c>
    </row>
    <row r="1783" spans="2:11" x14ac:dyDescent="0.35">
      <c r="B1783" s="5" t="str">
        <f t="shared" si="1101"/>
        <v>SPS3</v>
      </c>
      <c r="C1783" s="5" t="str">
        <f t="shared" si="1104"/>
        <v>CH</v>
      </c>
      <c r="D1783" t="s">
        <v>1819</v>
      </c>
      <c r="E1783" t="str">
        <f t="shared" si="1095"/>
        <v>GWe/yr.</v>
      </c>
      <c r="F1783" s="1">
        <f>'[1]Electricity and CHPs_CAP'!B$20</f>
        <v>0</v>
      </c>
      <c r="G1783" s="1">
        <f>'[1]Electricity and CHPs_CAP'!C$20</f>
        <v>0</v>
      </c>
      <c r="H1783" s="1">
        <f>'[1]Electricity and CHPs_CAP'!D$20</f>
        <v>0</v>
      </c>
      <c r="I1783" s="1">
        <f>'[1]Electricity and CHPs_CAP'!E$20</f>
        <v>0</v>
      </c>
      <c r="J1783" s="1">
        <f>'[1]Electricity and CHPs_CAP'!F$20</f>
        <v>1.9819810467024701E-5</v>
      </c>
      <c r="K1783" s="1">
        <f>'[1]Electricity and CHPs_CAP'!G$20</f>
        <v>0.17777065854578883</v>
      </c>
    </row>
    <row r="1784" spans="2:11" x14ac:dyDescent="0.35">
      <c r="B1784" s="5" t="str">
        <f t="shared" si="1101"/>
        <v>SPS3</v>
      </c>
      <c r="C1784" s="5" t="str">
        <f t="shared" si="1104"/>
        <v>CH</v>
      </c>
      <c r="D1784" t="s">
        <v>1820</v>
      </c>
      <c r="E1784" t="str">
        <f t="shared" si="1095"/>
        <v>GWe/yr.</v>
      </c>
      <c r="F1784" s="1">
        <f>'[1]Electricity and CHPs_CAP'!B$26</f>
        <v>7.839986330717108E-2</v>
      </c>
      <c r="G1784" s="1">
        <f>'[1]Electricity and CHPs_CAP'!C$26</f>
        <v>7.1002323319369356E-2</v>
      </c>
      <c r="H1784" s="1">
        <f>'[1]Electricity and CHPs_CAP'!D$26</f>
        <v>7.0490522526765659E-2</v>
      </c>
      <c r="I1784" s="1">
        <f>'[1]Electricity and CHPs_CAP'!E$26</f>
        <v>7.049017559743663E-2</v>
      </c>
      <c r="J1784" s="1">
        <f>'[1]Electricity and CHPs_CAP'!F$26</f>
        <v>7.077784321447525E-2</v>
      </c>
      <c r="K1784" s="1">
        <f>'[1]Electricity and CHPs_CAP'!G$26</f>
        <v>4.2503513214401469E-2</v>
      </c>
    </row>
    <row r="1785" spans="2:11" x14ac:dyDescent="0.35">
      <c r="B1785" s="5" t="str">
        <f t="shared" si="1101"/>
        <v>SPS3</v>
      </c>
      <c r="C1785" s="5" t="str">
        <f t="shared" si="1104"/>
        <v>CH</v>
      </c>
      <c r="D1785" t="s">
        <v>1821</v>
      </c>
      <c r="E1785" t="str">
        <f t="shared" si="1095"/>
        <v>GWe/yr.</v>
      </c>
      <c r="F1785" s="1">
        <f>'[1]Electricity and CHPs_CAP'!B$27</f>
        <v>0</v>
      </c>
      <c r="G1785" s="1">
        <f>'[1]Electricity and CHPs_CAP'!C$27</f>
        <v>0</v>
      </c>
      <c r="H1785" s="1">
        <f>'[1]Electricity and CHPs_CAP'!D$27</f>
        <v>0</v>
      </c>
      <c r="I1785" s="1">
        <f>'[1]Electricity and CHPs_CAP'!E$27</f>
        <v>0</v>
      </c>
      <c r="J1785" s="1">
        <f>'[1]Electricity and CHPs_CAP'!F$27</f>
        <v>1.17858877644963E-5</v>
      </c>
      <c r="K1785" s="1">
        <f>'[1]Electricity and CHPs_CAP'!G$27</f>
        <v>5.6067679048642918E-2</v>
      </c>
    </row>
    <row r="1786" spans="2:11" x14ac:dyDescent="0.35">
      <c r="B1786" s="5" t="str">
        <f t="shared" si="1101"/>
        <v>SPS3</v>
      </c>
      <c r="C1786" s="5" t="str">
        <f t="shared" si="1104"/>
        <v>CH</v>
      </c>
      <c r="D1786" t="s">
        <v>1822</v>
      </c>
      <c r="E1786" t="str">
        <f t="shared" si="1095"/>
        <v>GWe/yr.</v>
      </c>
      <c r="F1786" s="1">
        <f>'[1]Electricity and CHPs_CAP'!B$44</f>
        <v>4.8153806922030279E-2</v>
      </c>
      <c r="G1786" s="1">
        <f>'[1]Electricity and CHPs_CAP'!C$44</f>
        <v>1.3853897398103672E-2</v>
      </c>
      <c r="H1786" s="1">
        <f>'[1]Electricity and CHPs_CAP'!D$44</f>
        <v>1.3850963229599784E-2</v>
      </c>
      <c r="I1786" s="1">
        <f>'[1]Electricity and CHPs_CAP'!E$44</f>
        <v>1.3561378224452306E-2</v>
      </c>
      <c r="J1786" s="1">
        <f>'[1]Electricity and CHPs_CAP'!F$44</f>
        <v>1.3459378154115688E-2</v>
      </c>
      <c r="K1786" s="1">
        <f>'[1]Electricity and CHPs_CAP'!G$44</f>
        <v>7.5903310666074891E-4</v>
      </c>
    </row>
    <row r="1787" spans="2:11" x14ac:dyDescent="0.35">
      <c r="B1787" s="5" t="str">
        <f t="shared" si="1101"/>
        <v>SPS3</v>
      </c>
      <c r="C1787" s="5" t="str">
        <f t="shared" si="1104"/>
        <v>CH</v>
      </c>
      <c r="D1787" t="s">
        <v>1823</v>
      </c>
      <c r="E1787" t="str">
        <f t="shared" si="1095"/>
        <v>GWe/yr.</v>
      </c>
      <c r="F1787" s="1">
        <f>'[1]Electricity and CHPs_CAP'!B$45</f>
        <v>0</v>
      </c>
      <c r="G1787" s="1">
        <f>'[1]Electricity and CHPs_CAP'!C$45</f>
        <v>0</v>
      </c>
      <c r="H1787" s="1">
        <f>'[1]Electricity and CHPs_CAP'!D$45</f>
        <v>0</v>
      </c>
      <c r="I1787" s="1">
        <f>'[1]Electricity and CHPs_CAP'!E$45</f>
        <v>0</v>
      </c>
      <c r="J1787" s="1">
        <f>'[1]Electricity and CHPs_CAP'!F$45</f>
        <v>7.2130096980904399E-6</v>
      </c>
      <c r="K1787" s="1">
        <f>'[1]Electricity and CHPs_CAP'!G$45</f>
        <v>6.0466060787934608E-2</v>
      </c>
    </row>
    <row r="1788" spans="2:11" x14ac:dyDescent="0.35">
      <c r="B1788" s="5" t="str">
        <f t="shared" si="1101"/>
        <v>SPS3</v>
      </c>
      <c r="C1788" s="5" t="str">
        <f>C1787</f>
        <v>CH</v>
      </c>
      <c r="D1788" t="s">
        <v>1824</v>
      </c>
      <c r="E1788" t="str">
        <f t="shared" si="1095"/>
        <v>GWe/yr.</v>
      </c>
      <c r="F1788" s="1">
        <f>SUM(F1789:F1795)</f>
        <v>8.2756039782702923E-3</v>
      </c>
      <c r="G1788" s="1">
        <f t="shared" ref="G1788:K1788" si="1105">SUM(G1789:G1795)</f>
        <v>6.4809977655605998E-3</v>
      </c>
      <c r="H1788" s="1">
        <f t="shared" si="1105"/>
        <v>4.2386300313617294E-2</v>
      </c>
      <c r="I1788" s="1">
        <f t="shared" si="1105"/>
        <v>0.11681723120664227</v>
      </c>
      <c r="J1788" s="1">
        <f t="shared" si="1105"/>
        <v>0.27725255115053576</v>
      </c>
      <c r="K1788" s="1">
        <f t="shared" si="1105"/>
        <v>0.28245582545814696</v>
      </c>
    </row>
    <row r="1789" spans="2:11" x14ac:dyDescent="0.35">
      <c r="B1789" s="5" t="str">
        <f t="shared" si="1101"/>
        <v>SPS3</v>
      </c>
      <c r="C1789" s="5" t="str">
        <f t="shared" ref="C1789:C1799" si="1106">C1788</f>
        <v>CH</v>
      </c>
      <c r="D1789" t="s">
        <v>1825</v>
      </c>
      <c r="E1789" t="str">
        <f t="shared" si="1095"/>
        <v>GWe/yr.</v>
      </c>
      <c r="F1789" s="1">
        <f>'[1]Electricity and CHPs_CAP'!B$25</f>
        <v>3.528656498959018E-4</v>
      </c>
      <c r="G1789" s="1">
        <f>'[1]Electricity and CHPs_CAP'!C$25</f>
        <v>4.1794257917542738E-4</v>
      </c>
      <c r="H1789" s="1">
        <f>'[1]Electricity and CHPs_CAP'!D$25</f>
        <v>2.2081365587686697E-4</v>
      </c>
      <c r="I1789" s="1">
        <f>'[1]Electricity and CHPs_CAP'!E$25</f>
        <v>2.83243297834328E-2</v>
      </c>
      <c r="J1789" s="1">
        <f>'[1]Electricity and CHPs_CAP'!F$25</f>
        <v>7.5225306793776023E-2</v>
      </c>
      <c r="K1789" s="1">
        <f>'[1]Electricity and CHPs_CAP'!G$25</f>
        <v>5.5906231893474795E-2</v>
      </c>
    </row>
    <row r="1790" spans="2:11" x14ac:dyDescent="0.35">
      <c r="B1790" s="5" t="str">
        <f t="shared" si="1101"/>
        <v>SPS3</v>
      </c>
      <c r="C1790" s="5" t="str">
        <f t="shared" si="1106"/>
        <v>CH</v>
      </c>
      <c r="D1790" t="s">
        <v>1826</v>
      </c>
      <c r="E1790" t="str">
        <f t="shared" si="1095"/>
        <v>GWe/yr.</v>
      </c>
      <c r="F1790" s="1">
        <f>'[1]Electricity and CHPs_CAP'!B$31</f>
        <v>0</v>
      </c>
      <c r="G1790" s="1">
        <f>'[1]Electricity and CHPs_CAP'!C$31</f>
        <v>0</v>
      </c>
      <c r="H1790" s="1">
        <f>'[1]Electricity and CHPs_CAP'!D$31</f>
        <v>0</v>
      </c>
      <c r="I1790" s="1">
        <f>'[1]Electricity and CHPs_CAP'!E$31</f>
        <v>0</v>
      </c>
      <c r="J1790" s="1">
        <f>'[1]Electricity and CHPs_CAP'!F$31</f>
        <v>2.25732259762564E-5</v>
      </c>
      <c r="K1790" s="1">
        <f>'[1]Electricity and CHPs_CAP'!G$31</f>
        <v>2.7926551029221137E-2</v>
      </c>
    </row>
    <row r="1791" spans="2:11" x14ac:dyDescent="0.35">
      <c r="B1791" s="5" t="str">
        <f t="shared" si="1101"/>
        <v>SPS3</v>
      </c>
      <c r="C1791" s="5" t="str">
        <f t="shared" si="1106"/>
        <v>CH</v>
      </c>
      <c r="D1791" t="s">
        <v>1827</v>
      </c>
      <c r="E1791" t="str">
        <f t="shared" si="1095"/>
        <v>GWe/yr.</v>
      </c>
      <c r="F1791" s="1">
        <f>'[1]Electricity and CHPs_CAP'!B$42</f>
        <v>7.9227383283743905E-3</v>
      </c>
      <c r="G1791" s="1">
        <f>'[1]Electricity and CHPs_CAP'!C$42</f>
        <v>6.0630551863851724E-3</v>
      </c>
      <c r="H1791" s="1">
        <f>'[1]Electricity and CHPs_CAP'!D$42</f>
        <v>4.2165486657740427E-2</v>
      </c>
      <c r="I1791" s="1">
        <f>'[1]Electricity and CHPs_CAP'!E$42</f>
        <v>8.8143985427030086E-2</v>
      </c>
      <c r="J1791" s="1">
        <f>'[1]Electricity and CHPs_CAP'!F$42</f>
        <v>0.15804016541037103</v>
      </c>
      <c r="K1791" s="1">
        <f>'[1]Electricity and CHPs_CAP'!G$42</f>
        <v>9.7966071701243482E-2</v>
      </c>
    </row>
    <row r="1792" spans="2:11" x14ac:dyDescent="0.35">
      <c r="B1792" s="5" t="str">
        <f t="shared" si="1101"/>
        <v>SPS3</v>
      </c>
      <c r="C1792" s="5" t="str">
        <f t="shared" si="1106"/>
        <v>CH</v>
      </c>
      <c r="D1792" t="s">
        <v>1828</v>
      </c>
      <c r="E1792" t="str">
        <f t="shared" si="1095"/>
        <v>GWe/yr.</v>
      </c>
      <c r="F1792" s="1">
        <f>'[1]Electricity and CHPs_CAP'!B$43</f>
        <v>0</v>
      </c>
      <c r="G1792" s="1">
        <f>'[1]Electricity and CHPs_CAP'!C$43</f>
        <v>0</v>
      </c>
      <c r="H1792" s="1">
        <f>'[1]Electricity and CHPs_CAP'!D$43</f>
        <v>0</v>
      </c>
      <c r="I1792" s="1">
        <f>'[1]Electricity and CHPs_CAP'!E$43</f>
        <v>0</v>
      </c>
      <c r="J1792" s="1">
        <f>'[1]Electricity and CHPs_CAP'!F$43</f>
        <v>4.36021052638993E-2</v>
      </c>
      <c r="K1792" s="1">
        <f>'[1]Electricity and CHPs_CAP'!G$43</f>
        <v>0.100289913607326</v>
      </c>
    </row>
    <row r="1793" spans="2:11" x14ac:dyDescent="0.35">
      <c r="B1793" s="5" t="str">
        <f t="shared" si="1101"/>
        <v>SPS3</v>
      </c>
      <c r="C1793" s="5" t="str">
        <f t="shared" si="1106"/>
        <v>CH</v>
      </c>
      <c r="D1793" t="s">
        <v>1829</v>
      </c>
      <c r="E1793" t="str">
        <f t="shared" si="1095"/>
        <v>GWe/yr.</v>
      </c>
      <c r="F1793" s="1">
        <f>'[1]Electricity and CHPs_CAP'!B$50</f>
        <v>0</v>
      </c>
      <c r="G1793" s="1">
        <f>'[1]Electricity and CHPs_CAP'!C$50</f>
        <v>0</v>
      </c>
      <c r="H1793" s="1">
        <f>'[1]Electricity and CHPs_CAP'!D$50</f>
        <v>0</v>
      </c>
      <c r="I1793" s="1">
        <f>'[1]Electricity and CHPs_CAP'!E$50</f>
        <v>1.0139404926817649E-4</v>
      </c>
      <c r="J1793" s="1">
        <f>'[1]Electricity and CHPs_CAP'!F$50</f>
        <v>1.1755561003794119E-4</v>
      </c>
      <c r="K1793" s="1">
        <f>'[1]Electricity and CHPs_CAP'!G$50</f>
        <v>7.3554750271905835E-5</v>
      </c>
    </row>
    <row r="1794" spans="2:11" x14ac:dyDescent="0.35">
      <c r="B1794" s="5" t="str">
        <f t="shared" si="1101"/>
        <v>SPS3</v>
      </c>
      <c r="C1794" s="5" t="str">
        <f t="shared" si="1106"/>
        <v>CH</v>
      </c>
      <c r="D1794" t="s">
        <v>1830</v>
      </c>
      <c r="E1794" t="str">
        <f t="shared" si="1095"/>
        <v>GWe/yr.</v>
      </c>
      <c r="F1794" s="1">
        <f>'[1]Electricity and CHPs_CAP'!B$53</f>
        <v>0</v>
      </c>
      <c r="G1794" s="1">
        <f>'[1]Electricity and CHPs_CAP'!C$53</f>
        <v>0</v>
      </c>
      <c r="H1794" s="1">
        <f>'[1]Electricity and CHPs_CAP'!D$53</f>
        <v>0</v>
      </c>
      <c r="I1794" s="1">
        <f>'[1]Electricity and CHPs_CAP'!E$53</f>
        <v>1.6917223636218762E-4</v>
      </c>
      <c r="J1794" s="1">
        <f>'[1]Electricity and CHPs_CAP'!F$53</f>
        <v>2.0542831794159177E-4</v>
      </c>
      <c r="K1794" s="1">
        <f>'[1]Electricity and CHPs_CAP'!G$53</f>
        <v>1.4730461770318367E-4</v>
      </c>
    </row>
    <row r="1795" spans="2:11" x14ac:dyDescent="0.35">
      <c r="B1795" s="5" t="str">
        <f t="shared" si="1101"/>
        <v>SPS3</v>
      </c>
      <c r="C1795" s="5" t="str">
        <f t="shared" si="1106"/>
        <v>CH</v>
      </c>
      <c r="D1795" t="s">
        <v>1831</v>
      </c>
      <c r="E1795" t="str">
        <f t="shared" si="1095"/>
        <v>GWe/yr.</v>
      </c>
      <c r="F1795" s="1">
        <f>'[1]Electricity and CHPs_CAP'!B$56</f>
        <v>0</v>
      </c>
      <c r="G1795" s="1">
        <f>'[1]Electricity and CHPs_CAP'!C$56</f>
        <v>0</v>
      </c>
      <c r="H1795" s="1">
        <f>'[1]Electricity and CHPs_CAP'!D$56</f>
        <v>0</v>
      </c>
      <c r="I1795" s="1">
        <f>'[1]Electricity and CHPs_CAP'!E$56</f>
        <v>7.8349710549019896E-5</v>
      </c>
      <c r="J1795" s="1">
        <f>'[1]Electricity and CHPs_CAP'!F$56</f>
        <v>3.9416528533599594E-5</v>
      </c>
      <c r="K1795" s="1">
        <f>'[1]Electricity and CHPs_CAP'!G$56</f>
        <v>1.4619785890644641E-4</v>
      </c>
    </row>
    <row r="1796" spans="2:11" x14ac:dyDescent="0.35">
      <c r="B1796" s="5" t="str">
        <f t="shared" si="1101"/>
        <v>SPS3</v>
      </c>
      <c r="C1796" s="5" t="str">
        <f t="shared" si="1106"/>
        <v>CH</v>
      </c>
      <c r="D1796" t="s">
        <v>1832</v>
      </c>
      <c r="E1796" t="str">
        <f t="shared" si="1095"/>
        <v>GWe/yr.</v>
      </c>
      <c r="F1796" s="1">
        <f>F1797</f>
        <v>8.7120000000000003E-2</v>
      </c>
      <c r="G1796" s="1">
        <f t="shared" ref="G1796:K1796" si="1107">G1797</f>
        <v>9.0660014388956711E-2</v>
      </c>
      <c r="H1796" s="1">
        <f t="shared" si="1107"/>
        <v>8.3655931882885726E-2</v>
      </c>
      <c r="I1796" s="1">
        <f t="shared" si="1107"/>
        <v>0.34087619805815134</v>
      </c>
      <c r="J1796" s="1">
        <f t="shared" si="1107"/>
        <v>0.5857063656914987</v>
      </c>
      <c r="K1796" s="1">
        <f t="shared" si="1107"/>
        <v>1.0175127592478199</v>
      </c>
    </row>
    <row r="1797" spans="2:11" x14ac:dyDescent="0.35">
      <c r="B1797" s="5" t="str">
        <f t="shared" si="1101"/>
        <v>SPS3</v>
      </c>
      <c r="C1797" s="5" t="str">
        <f t="shared" si="1106"/>
        <v>CH</v>
      </c>
      <c r="D1797" t="s">
        <v>1833</v>
      </c>
      <c r="E1797" t="str">
        <f t="shared" si="1095"/>
        <v>GWe/yr.</v>
      </c>
      <c r="F1797" s="1">
        <f>'[1]Electricity and CHPs_CAP'!B$33</f>
        <v>8.7120000000000003E-2</v>
      </c>
      <c r="G1797" s="1">
        <f>'[1]Electricity and CHPs_CAP'!C$33</f>
        <v>9.0660014388956711E-2</v>
      </c>
      <c r="H1797" s="1">
        <f>'[1]Electricity and CHPs_CAP'!D$33</f>
        <v>8.3655931882885726E-2</v>
      </c>
      <c r="I1797" s="1">
        <f>'[1]Electricity and CHPs_CAP'!E$33</f>
        <v>0.34087619805815134</v>
      </c>
      <c r="J1797" s="1">
        <f>'[1]Electricity and CHPs_CAP'!F$33</f>
        <v>0.5857063656914987</v>
      </c>
      <c r="K1797" s="1">
        <f>'[1]Electricity and CHPs_CAP'!G$33</f>
        <v>1.0175127592478199</v>
      </c>
    </row>
    <row r="1798" spans="2:11" x14ac:dyDescent="0.35">
      <c r="B1798" s="5" t="str">
        <f t="shared" si="1101"/>
        <v>SPS3</v>
      </c>
      <c r="C1798" s="5" t="str">
        <f t="shared" si="1106"/>
        <v>CH</v>
      </c>
      <c r="D1798" t="s">
        <v>1834</v>
      </c>
      <c r="E1798" t="str">
        <f t="shared" si="1095"/>
        <v>GWe/yr.</v>
      </c>
      <c r="F1798" s="1">
        <f>SUM(F1799:F1803)</f>
        <v>2.9746549999999998</v>
      </c>
      <c r="G1798" s="1">
        <f t="shared" ref="G1798:K1798" si="1108">SUM(G1799:G1803)</f>
        <v>4.3709017900150258</v>
      </c>
      <c r="H1798" s="1">
        <f t="shared" si="1108"/>
        <v>9.188892974346075</v>
      </c>
      <c r="I1798" s="1">
        <f t="shared" si="1108"/>
        <v>8.9868042468014764</v>
      </c>
      <c r="J1798" s="1">
        <f t="shared" si="1108"/>
        <v>17.490360837769831</v>
      </c>
      <c r="K1798" s="1">
        <f t="shared" si="1108"/>
        <v>25.950426912620681</v>
      </c>
    </row>
    <row r="1799" spans="2:11" x14ac:dyDescent="0.35">
      <c r="B1799" s="5" t="str">
        <f t="shared" si="1101"/>
        <v>SPS3</v>
      </c>
      <c r="C1799" s="5" t="str">
        <f t="shared" si="1106"/>
        <v>CH</v>
      </c>
      <c r="D1799" t="s">
        <v>1835</v>
      </c>
      <c r="E1799" t="str">
        <f t="shared" si="1095"/>
        <v>GWe/yr.</v>
      </c>
      <c r="F1799" s="1">
        <f>'[1]Electricity and CHPs_CAP'!B$34</f>
        <v>0</v>
      </c>
      <c r="G1799" s="1">
        <f>'[1]Electricity and CHPs_CAP'!C$34</f>
        <v>0</v>
      </c>
      <c r="H1799" s="1">
        <f>'[1]Electricity and CHPs_CAP'!D$34</f>
        <v>4.4925842558885397E-2</v>
      </c>
      <c r="I1799" s="1">
        <f>'[1]Electricity and CHPs_CAP'!E$34</f>
        <v>4.4928045490174477E-2</v>
      </c>
      <c r="J1799" s="1">
        <f>'[1]Electricity and CHPs_CAP'!F$34</f>
        <v>4.4978798925894833E-2</v>
      </c>
      <c r="K1799" s="1">
        <f>'[1]Electricity and CHPs_CAP'!G$34</f>
        <v>1.3598009999977098E-3</v>
      </c>
    </row>
    <row r="1800" spans="2:11" x14ac:dyDescent="0.35">
      <c r="B1800" s="5" t="str">
        <f t="shared" si="1101"/>
        <v>SPS3</v>
      </c>
      <c r="C1800" s="5" t="str">
        <f t="shared" ref="C1800:C1815" si="1109">C1799</f>
        <v>CH</v>
      </c>
      <c r="D1800" t="s">
        <v>1836</v>
      </c>
      <c r="E1800" t="str">
        <f t="shared" si="1095"/>
        <v>GWe/yr.</v>
      </c>
      <c r="F1800" s="1">
        <f>'[1]Electricity and CHPs_CAP'!B$35</f>
        <v>1.1186210000000001</v>
      </c>
      <c r="G1800" s="1">
        <f>'[1]Electricity and CHPs_CAP'!C$35</f>
        <v>1.6529270814017174</v>
      </c>
      <c r="H1800" s="1">
        <f>'[1]Electricity and CHPs_CAP'!D$35</f>
        <v>3.5611879766709498</v>
      </c>
      <c r="I1800" s="1">
        <f>'[1]Electricity and CHPs_CAP'!E$35</f>
        <v>3.4922726345920201</v>
      </c>
      <c r="J1800" s="1">
        <f>'[1]Electricity and CHPs_CAP'!F$35</f>
        <v>11.775160650839936</v>
      </c>
      <c r="K1800" s="1">
        <f>'[1]Electricity and CHPs_CAP'!G$35</f>
        <v>18.551642650806201</v>
      </c>
    </row>
    <row r="1801" spans="2:11" x14ac:dyDescent="0.35">
      <c r="B1801" s="5" t="str">
        <f t="shared" si="1101"/>
        <v>SPS3</v>
      </c>
      <c r="C1801" s="5" t="str">
        <f t="shared" si="1109"/>
        <v>CH</v>
      </c>
      <c r="D1801" t="s">
        <v>1837</v>
      </c>
      <c r="E1801" t="str">
        <f t="shared" si="1095"/>
        <v>GWe/yr.</v>
      </c>
      <c r="F1801" s="1">
        <f>'[1]Electricity and CHPs_CAP'!B$36</f>
        <v>0.67885700000000004</v>
      </c>
      <c r="G1801" s="1">
        <f>'[1]Electricity and CHPs_CAP'!C$36</f>
        <v>1.1559132811267339</v>
      </c>
      <c r="H1801" s="1">
        <f>'[1]Electricity and CHPs_CAP'!D$36</f>
        <v>1.2908165290859404</v>
      </c>
      <c r="I1801" s="1">
        <f>'[1]Electricity and CHPs_CAP'!E$36</f>
        <v>1.2539342733945522</v>
      </c>
      <c r="J1801" s="1">
        <f>'[1]Electricity and CHPs_CAP'!F$36</f>
        <v>0.44815328845154256</v>
      </c>
      <c r="K1801" s="1">
        <f>'[1]Electricity and CHPs_CAP'!G$36</f>
        <v>5.0653661034712905E-3</v>
      </c>
    </row>
    <row r="1802" spans="2:11" x14ac:dyDescent="0.35">
      <c r="B1802" s="5" t="str">
        <f t="shared" si="1101"/>
        <v>SPS3</v>
      </c>
      <c r="C1802" s="5" t="str">
        <f t="shared" si="1109"/>
        <v>CH</v>
      </c>
      <c r="D1802" t="s">
        <v>1838</v>
      </c>
      <c r="E1802" t="str">
        <f t="shared" si="1095"/>
        <v>GWe/yr.</v>
      </c>
      <c r="F1802" s="1">
        <f>'[1]Electricity and CHPs_CAP'!B$37</f>
        <v>0.27424799999999999</v>
      </c>
      <c r="G1802" s="1">
        <f>'[1]Electricity and CHPs_CAP'!C$37</f>
        <v>0.43896010371138927</v>
      </c>
      <c r="H1802" s="1">
        <f>'[1]Electricity and CHPs_CAP'!D$37</f>
        <v>1.1121586293340209</v>
      </c>
      <c r="I1802" s="1">
        <f>'[1]Electricity and CHPs_CAP'!E$37</f>
        <v>1.1004346793019284</v>
      </c>
      <c r="J1802" s="1">
        <f>'[1]Electricity and CHPs_CAP'!F$37</f>
        <v>1.2155885330133671</v>
      </c>
      <c r="K1802" s="1">
        <f>'[1]Electricity and CHPs_CAP'!G$37</f>
        <v>1.3427886240396538</v>
      </c>
    </row>
    <row r="1803" spans="2:11" x14ac:dyDescent="0.35">
      <c r="B1803" s="5" t="str">
        <f t="shared" si="1101"/>
        <v>SPS3</v>
      </c>
      <c r="C1803" s="5" t="str">
        <f t="shared" si="1109"/>
        <v>CH</v>
      </c>
      <c r="D1803" t="s">
        <v>1839</v>
      </c>
      <c r="E1803" t="str">
        <f t="shared" si="1095"/>
        <v>GWe/yr.</v>
      </c>
      <c r="F1803" s="1">
        <f>'[1]Electricity and CHPs_CAP'!B$38</f>
        <v>0.90292899999999998</v>
      </c>
      <c r="G1803" s="1">
        <f>'[1]Electricity and CHPs_CAP'!C$38</f>
        <v>1.123101323775185</v>
      </c>
      <c r="H1803" s="1">
        <f>'[1]Electricity and CHPs_CAP'!D$38</f>
        <v>3.1798039966962799</v>
      </c>
      <c r="I1803" s="1">
        <f>'[1]Electricity and CHPs_CAP'!E$38</f>
        <v>3.0952346140228002</v>
      </c>
      <c r="J1803" s="1">
        <f>'[1]Electricity and CHPs_CAP'!F$38</f>
        <v>4.0064795665390891</v>
      </c>
      <c r="K1803" s="1">
        <f>'[1]Electricity and CHPs_CAP'!G$38</f>
        <v>6.0495704706713598</v>
      </c>
    </row>
    <row r="1804" spans="2:11" x14ac:dyDescent="0.35">
      <c r="B1804" s="5" t="str">
        <f t="shared" si="1101"/>
        <v>SPS3</v>
      </c>
      <c r="C1804" s="5" t="str">
        <f>C1807</f>
        <v>CH</v>
      </c>
      <c r="D1804" t="s">
        <v>1840</v>
      </c>
      <c r="E1804" t="str">
        <f t="shared" si="1095"/>
        <v>GWe/yr.</v>
      </c>
      <c r="F1804" s="1">
        <f>'[1]Electricity and CHPs_CAP'!B$32</f>
        <v>0</v>
      </c>
      <c r="G1804" s="1">
        <f>'[1]Electricity and CHPs_CAP'!C$32</f>
        <v>0</v>
      </c>
      <c r="H1804" s="1">
        <f>'[1]Electricity and CHPs_CAP'!D$32</f>
        <v>0</v>
      </c>
      <c r="I1804" s="1">
        <f>'[1]Electricity and CHPs_CAP'!E$32</f>
        <v>0</v>
      </c>
      <c r="J1804" s="1">
        <f>'[1]Electricity and CHPs_CAP'!F$32</f>
        <v>1.3252428348939599E-7</v>
      </c>
      <c r="K1804" s="1">
        <f>'[1]Electricity and CHPs_CAP'!G$32</f>
        <v>5.4901829477179104E-7</v>
      </c>
    </row>
    <row r="1805" spans="2:11" x14ac:dyDescent="0.35">
      <c r="B1805" s="5" t="str">
        <f t="shared" si="1101"/>
        <v>SPS3</v>
      </c>
      <c r="C1805" s="5" t="str">
        <f t="shared" ref="C1805" si="1110">C1804</f>
        <v>CH</v>
      </c>
      <c r="D1805" t="s">
        <v>1841</v>
      </c>
      <c r="E1805" t="str">
        <f t="shared" si="1095"/>
        <v>GWe/yr.</v>
      </c>
      <c r="F1805" s="1">
        <f>F1804</f>
        <v>0</v>
      </c>
      <c r="G1805" s="1">
        <f t="shared" ref="G1805:K1805" si="1111">G1804</f>
        <v>0</v>
      </c>
      <c r="H1805" s="1">
        <f t="shared" si="1111"/>
        <v>0</v>
      </c>
      <c r="I1805" s="1">
        <f t="shared" si="1111"/>
        <v>0</v>
      </c>
      <c r="J1805" s="1">
        <f t="shared" si="1111"/>
        <v>1.3252428348939599E-7</v>
      </c>
      <c r="K1805" s="1">
        <f t="shared" si="1111"/>
        <v>5.4901829477179104E-7</v>
      </c>
    </row>
    <row r="1806" spans="2:11" x14ac:dyDescent="0.35">
      <c r="B1806" s="5" t="str">
        <f t="shared" si="1101"/>
        <v>SPS3</v>
      </c>
      <c r="C1806" s="5" t="str">
        <f>C1803</f>
        <v>CH</v>
      </c>
      <c r="D1806" t="s">
        <v>1842</v>
      </c>
      <c r="E1806" t="str">
        <f t="shared" si="1095"/>
        <v>GWe/yr.</v>
      </c>
      <c r="F1806" s="1">
        <f t="shared" ref="F1806:K1806" si="1112">SUM(F1807:F1809)</f>
        <v>0</v>
      </c>
      <c r="G1806" s="1">
        <f t="shared" si="1112"/>
        <v>0</v>
      </c>
      <c r="H1806" s="1">
        <f t="shared" si="1112"/>
        <v>0</v>
      </c>
      <c r="I1806" s="1">
        <f t="shared" si="1112"/>
        <v>2.0786880176428099E-4</v>
      </c>
      <c r="J1806" s="1">
        <f t="shared" si="1112"/>
        <v>1.3476356397330148E-3</v>
      </c>
      <c r="K1806" s="1">
        <f t="shared" si="1112"/>
        <v>0.15757001335858795</v>
      </c>
    </row>
    <row r="1807" spans="2:11" x14ac:dyDescent="0.35">
      <c r="B1807" s="5" t="str">
        <f t="shared" si="1101"/>
        <v>SPS3</v>
      </c>
      <c r="C1807" s="5" t="str">
        <f t="shared" si="1109"/>
        <v>CH</v>
      </c>
      <c r="D1807" t="s">
        <v>1843</v>
      </c>
      <c r="E1807" t="str">
        <f t="shared" si="1095"/>
        <v>GWe/yr.</v>
      </c>
      <c r="F1807" s="1">
        <f>'[1]Electricity and CHPs_CAP'!B$30</f>
        <v>0</v>
      </c>
      <c r="G1807" s="1">
        <f>'[1]Electricity and CHPs_CAP'!C$30</f>
        <v>0</v>
      </c>
      <c r="H1807" s="1">
        <f>'[1]Electricity and CHPs_CAP'!D$30</f>
        <v>0</v>
      </c>
      <c r="I1807" s="1">
        <f>'[1]Electricity and CHPs_CAP'!E$30</f>
        <v>0</v>
      </c>
      <c r="J1807" s="1">
        <f>'[1]Electricity and CHPs_CAP'!F$30</f>
        <v>2.0430331424569099E-4</v>
      </c>
      <c r="K1807" s="1">
        <f>'[1]Electricity and CHPs_CAP'!G$30</f>
        <v>2.0614469272926797E-4</v>
      </c>
    </row>
    <row r="1808" spans="2:11" x14ac:dyDescent="0.35">
      <c r="B1808" s="5" t="str">
        <f t="shared" si="1101"/>
        <v>SPS3</v>
      </c>
      <c r="C1808" s="5" t="str">
        <f>C1804</f>
        <v>CH</v>
      </c>
      <c r="D1808" t="s">
        <v>1844</v>
      </c>
      <c r="E1808" t="str">
        <f t="shared" si="1095"/>
        <v>GWe/yr.</v>
      </c>
      <c r="F1808" s="1">
        <f>'[1]Electricity and CHPs_CAP'!B$46</f>
        <v>0</v>
      </c>
      <c r="G1808" s="1">
        <f>'[1]Electricity and CHPs_CAP'!C$46</f>
        <v>0</v>
      </c>
      <c r="H1808" s="1">
        <f>'[1]Electricity and CHPs_CAP'!D$46</f>
        <v>0</v>
      </c>
      <c r="I1808" s="1">
        <f>'[1]Electricity and CHPs_CAP'!E$46</f>
        <v>0</v>
      </c>
      <c r="J1808" s="1">
        <f>'[1]Electricity and CHPs_CAP'!F$46</f>
        <v>1.0112125980486089E-3</v>
      </c>
      <c r="K1808" s="1">
        <f>'[1]Electricity and CHPs_CAP'!G$46</f>
        <v>0.15538128361479694</v>
      </c>
    </row>
    <row r="1809" spans="2:11" x14ac:dyDescent="0.35">
      <c r="B1809" s="5" t="str">
        <f t="shared" si="1101"/>
        <v>SPS3</v>
      </c>
      <c r="C1809" s="5" t="str">
        <f t="shared" si="1109"/>
        <v>CH</v>
      </c>
      <c r="D1809" t="s">
        <v>1845</v>
      </c>
      <c r="E1809" t="str">
        <f t="shared" si="1095"/>
        <v>GWe/yr.</v>
      </c>
      <c r="F1809" s="1">
        <f>'[1]Electricity and CHPs_CAP'!B$57</f>
        <v>0</v>
      </c>
      <c r="G1809" s="1">
        <f>'[1]Electricity and CHPs_CAP'!C$57</f>
        <v>0</v>
      </c>
      <c r="H1809" s="1">
        <f>'[1]Electricity and CHPs_CAP'!D$57</f>
        <v>0</v>
      </c>
      <c r="I1809" s="1">
        <f>'[1]Electricity and CHPs_CAP'!E$57</f>
        <v>2.0786880176428099E-4</v>
      </c>
      <c r="J1809" s="1">
        <f>'[1]Electricity and CHPs_CAP'!F$57</f>
        <v>1.3211972743871491E-4</v>
      </c>
      <c r="K1809" s="1">
        <f>'[1]Electricity and CHPs_CAP'!G$57</f>
        <v>1.9825850510617471E-3</v>
      </c>
    </row>
    <row r="1810" spans="2:11" x14ac:dyDescent="0.35">
      <c r="B1810" s="5" t="str">
        <f t="shared" si="1101"/>
        <v>SPS3</v>
      </c>
      <c r="C1810" s="5" t="str">
        <f t="shared" si="1109"/>
        <v>CH</v>
      </c>
      <c r="D1810" t="s">
        <v>1846</v>
      </c>
      <c r="E1810" t="str">
        <f t="shared" si="1095"/>
        <v>GWe/yr.</v>
      </c>
      <c r="F1810" s="1">
        <f>SUM(F1811:F1817)</f>
        <v>0.10919069862233044</v>
      </c>
      <c r="G1810" s="1">
        <f t="shared" ref="G1810:K1810" si="1113">SUM(G1811:G1817)</f>
        <v>0.10919422968500601</v>
      </c>
      <c r="H1810" s="1">
        <f t="shared" si="1113"/>
        <v>0.10922881049273164</v>
      </c>
      <c r="I1810" s="1">
        <f t="shared" si="1113"/>
        <v>0.19921133666160734</v>
      </c>
      <c r="J1810" s="1">
        <f t="shared" si="1113"/>
        <v>0.46036108631803291</v>
      </c>
      <c r="K1810" s="1">
        <f t="shared" si="1113"/>
        <v>1.6576884300536028</v>
      </c>
    </row>
    <row r="1811" spans="2:11" x14ac:dyDescent="0.35">
      <c r="B1811" s="5" t="str">
        <f t="shared" si="1101"/>
        <v>SPS3</v>
      </c>
      <c r="C1811" s="5" t="str">
        <f t="shared" si="1109"/>
        <v>CH</v>
      </c>
      <c r="D1811" t="s">
        <v>1847</v>
      </c>
      <c r="E1811" t="str">
        <f t="shared" si="1095"/>
        <v>GWe/yr.</v>
      </c>
      <c r="F1811" s="1">
        <f>'[1]Electricity and CHPs_CAP'!B$63</f>
        <v>0.1</v>
      </c>
      <c r="G1811" s="1">
        <f>'[1]Electricity and CHPs_CAP'!C$63</f>
        <v>9.999573827579504E-2</v>
      </c>
      <c r="H1811" s="1">
        <f>'[1]Electricity and CHPs_CAP'!D$63</f>
        <v>9.9995134785457726E-2</v>
      </c>
      <c r="I1811" s="1">
        <f>'[1]Electricity and CHPs_CAP'!E$63</f>
        <v>9.9994882389701473E-2</v>
      </c>
      <c r="J1811" s="1">
        <f>'[1]Electricity and CHPs_CAP'!F$63</f>
        <v>9.9996599784006324E-2</v>
      </c>
      <c r="K1811" s="1">
        <f>'[1]Electricity and CHPs_CAP'!G$63</f>
        <v>9.9997587874963836E-2</v>
      </c>
    </row>
    <row r="1812" spans="2:11" x14ac:dyDescent="0.35">
      <c r="B1812" s="5" t="str">
        <f t="shared" si="1101"/>
        <v>SPS3</v>
      </c>
      <c r="C1812" s="5" t="str">
        <f t="shared" si="1109"/>
        <v>CH</v>
      </c>
      <c r="D1812" t="s">
        <v>1848</v>
      </c>
      <c r="E1812" t="str">
        <f t="shared" si="1095"/>
        <v>GWe/yr.</v>
      </c>
      <c r="F1812" s="1">
        <f>'[1]Electricity and CHPs_CAP'!B$64</f>
        <v>1.4145276796094901E-3</v>
      </c>
      <c r="G1812" s="1">
        <f>'[1]Electricity and CHPs_CAP'!C$64</f>
        <v>1.4152478827193515E-3</v>
      </c>
      <c r="H1812" s="1">
        <f>'[1]Electricity and CHPs_CAP'!D$64</f>
        <v>1.4176599242536256E-3</v>
      </c>
      <c r="I1812" s="1">
        <f>'[1]Electricity and CHPs_CAP'!E$64</f>
        <v>1.0385354093291239E-3</v>
      </c>
      <c r="J1812" s="1">
        <f>'[1]Electricity and CHPs_CAP'!F$64</f>
        <v>0.15841494347245585</v>
      </c>
      <c r="K1812" s="1">
        <f>'[1]Electricity and CHPs_CAP'!G$64</f>
        <v>0.90012664120206454</v>
      </c>
    </row>
    <row r="1813" spans="2:11" x14ac:dyDescent="0.35">
      <c r="B1813" s="5" t="str">
        <f t="shared" si="1101"/>
        <v>SPS3</v>
      </c>
      <c r="C1813" s="5" t="str">
        <f t="shared" si="1109"/>
        <v>CH</v>
      </c>
      <c r="D1813" t="s">
        <v>1849</v>
      </c>
      <c r="E1813" t="str">
        <f t="shared" si="1095"/>
        <v>GWe/yr.</v>
      </c>
      <c r="F1813" s="1">
        <f>'[1]Electricity and CHPs_CAP'!B$65</f>
        <v>1.1729823416424001E-3</v>
      </c>
      <c r="G1813" s="1">
        <f>'[1]Electricity and CHPs_CAP'!C$65</f>
        <v>1.1737884817558701E-3</v>
      </c>
      <c r="H1813" s="1">
        <f>'[1]Electricity and CHPs_CAP'!D$65</f>
        <v>1.1811590944569128E-3</v>
      </c>
      <c r="I1813" s="1">
        <f>'[1]Electricity and CHPs_CAP'!E$65</f>
        <v>1.2393395933987981E-3</v>
      </c>
      <c r="J1813" s="1">
        <f>'[1]Electricity and CHPs_CAP'!F$65</f>
        <v>4.5659287297140777E-3</v>
      </c>
      <c r="K1813" s="1">
        <f>'[1]Electricity and CHPs_CAP'!G$65</f>
        <v>0.35055919223813226</v>
      </c>
    </row>
    <row r="1814" spans="2:11" x14ac:dyDescent="0.35">
      <c r="B1814" s="5" t="str">
        <f t="shared" si="1101"/>
        <v>SPS3</v>
      </c>
      <c r="C1814" s="5" t="str">
        <f t="shared" si="1109"/>
        <v>CH</v>
      </c>
      <c r="D1814" t="s">
        <v>1850</v>
      </c>
      <c r="E1814" t="str">
        <f t="shared" si="1095"/>
        <v>GWe/yr.</v>
      </c>
      <c r="F1814" s="1">
        <f>'[1]Electricity and CHPs_CAP'!B$66</f>
        <v>1.0983265258409525E-3</v>
      </c>
      <c r="G1814" s="1">
        <f>'[1]Electricity and CHPs_CAP'!C$66</f>
        <v>1.0993787276146962E-3</v>
      </c>
      <c r="H1814" s="1">
        <f>'[1]Electricity and CHPs_CAP'!D$66</f>
        <v>1.1038099708056491E-3</v>
      </c>
      <c r="I1814" s="1">
        <f>'[1]Electricity and CHPs_CAP'!E$66</f>
        <v>1.9371896736900446E-2</v>
      </c>
      <c r="J1814" s="1">
        <f>'[1]Electricity and CHPs_CAP'!F$66</f>
        <v>3.3001004075781958E-2</v>
      </c>
      <c r="K1814" s="1">
        <f>'[1]Electricity and CHPs_CAP'!G$66</f>
        <v>3.4686898839575028E-2</v>
      </c>
    </row>
    <row r="1815" spans="2:11" x14ac:dyDescent="0.35">
      <c r="B1815" s="5" t="str">
        <f t="shared" si="1101"/>
        <v>SPS3</v>
      </c>
      <c r="C1815" s="5" t="str">
        <f t="shared" si="1109"/>
        <v>CH</v>
      </c>
      <c r="D1815" t="s">
        <v>1856</v>
      </c>
      <c r="E1815" t="str">
        <f t="shared" si="1095"/>
        <v>GWe/yr.</v>
      </c>
      <c r="F1815" s="1">
        <f>'[1]Electricity and CHPs_CAP'!B$67</f>
        <v>2.2015781224975391E-3</v>
      </c>
      <c r="G1815" s="1">
        <f>'[1]Electricity and CHPs_CAP'!C$67</f>
        <v>2.203663454931535E-3</v>
      </c>
      <c r="H1815" s="1">
        <f>'[1]Electricity and CHPs_CAP'!D$67</f>
        <v>2.2120067797108504E-3</v>
      </c>
      <c r="I1815" s="1">
        <f>'[1]Electricity and CHPs_CAP'!E$67</f>
        <v>2.8933629611227332E-2</v>
      </c>
      <c r="J1815" s="1">
        <f>'[1]Electricity and CHPs_CAP'!F$67</f>
        <v>6.3066320214004823E-2</v>
      </c>
      <c r="K1815" s="1">
        <f>'[1]Electricity and CHPs_CAP'!G$67</f>
        <v>0.10681891994355408</v>
      </c>
    </row>
    <row r="1816" spans="2:11" x14ac:dyDescent="0.35">
      <c r="B1816" s="5" t="str">
        <f t="shared" si="1101"/>
        <v>SPS3</v>
      </c>
      <c r="C1816" s="5" t="str">
        <f t="shared" ref="C1816:C1817" si="1114">C1815</f>
        <v>CH</v>
      </c>
      <c r="D1816" t="s">
        <v>1851</v>
      </c>
      <c r="E1816" t="str">
        <f t="shared" si="1095"/>
        <v>GWe/yr.</v>
      </c>
      <c r="F1816" s="1">
        <f>'[1]Electricity and CHPs_CAP'!B$68</f>
        <v>2.2010568289513258E-3</v>
      </c>
      <c r="G1816" s="1">
        <f>'[1]Electricity and CHPs_CAP'!C$68</f>
        <v>2.2031374784368166E-3</v>
      </c>
      <c r="H1816" s="1">
        <f>'[1]Electricity and CHPs_CAP'!D$68</f>
        <v>2.2113678184333052E-3</v>
      </c>
      <c r="I1816" s="1">
        <f>'[1]Electricity and CHPs_CAP'!E$68</f>
        <v>2.937688271934491E-2</v>
      </c>
      <c r="J1816" s="1">
        <f>'[1]Electricity and CHPs_CAP'!F$68</f>
        <v>6.7530145061001232E-2</v>
      </c>
      <c r="K1816" s="1">
        <f>'[1]Electricity and CHPs_CAP'!G$68</f>
        <v>0.10686340845799475</v>
      </c>
    </row>
    <row r="1817" spans="2:11" x14ac:dyDescent="0.35">
      <c r="B1817" s="5" t="str">
        <f t="shared" si="1101"/>
        <v>SPS3</v>
      </c>
      <c r="C1817" s="5" t="str">
        <f t="shared" si="1114"/>
        <v>CH</v>
      </c>
      <c r="D1817" t="s">
        <v>1852</v>
      </c>
      <c r="E1817" t="str">
        <f t="shared" si="1095"/>
        <v>GWe/yr.</v>
      </c>
      <c r="F1817" s="1">
        <f>'[1]Electricity and CHPs_CAP'!B$69</f>
        <v>1.1022271237887324E-3</v>
      </c>
      <c r="G1817" s="1">
        <f>'[1]Electricity and CHPs_CAP'!C$69</f>
        <v>1.1032753837527157E-3</v>
      </c>
      <c r="H1817" s="1">
        <f>'[1]Electricity and CHPs_CAP'!D$69</f>
        <v>1.1076721196135748E-3</v>
      </c>
      <c r="I1817" s="1">
        <f>'[1]Electricity and CHPs_CAP'!E$69</f>
        <v>1.9256170201705294E-2</v>
      </c>
      <c r="J1817" s="1">
        <f>'[1]Electricity and CHPs_CAP'!F$69</f>
        <v>3.3786144981068633E-2</v>
      </c>
      <c r="K1817" s="1">
        <f>'[1]Electricity and CHPs_CAP'!G$69</f>
        <v>5.863578149731842E-2</v>
      </c>
    </row>
    <row r="1818" spans="2:11" x14ac:dyDescent="0.35">
      <c r="B1818" s="5" t="str">
        <f t="shared" si="1101"/>
        <v>SPS3</v>
      </c>
      <c r="C1818" s="5" t="str">
        <f t="shared" ref="C1818" si="1115">C1817</f>
        <v>CH</v>
      </c>
      <c r="D1818" s="2" t="s">
        <v>1861</v>
      </c>
      <c r="E1818" s="2" t="s">
        <v>1859</v>
      </c>
      <c r="F1818" s="3">
        <f>SUM(F1819,F1838)</f>
        <v>11.163810447532008</v>
      </c>
      <c r="G1818" s="3">
        <f t="shared" ref="G1818:K1818" si="1116">SUM(G1819,G1838)</f>
        <v>11.676611245119211</v>
      </c>
      <c r="H1818" s="3">
        <f t="shared" si="1116"/>
        <v>11.285398070680836</v>
      </c>
      <c r="I1818" s="3">
        <f t="shared" si="1116"/>
        <v>12.607021751510533</v>
      </c>
      <c r="J1818" s="3">
        <f t="shared" si="1116"/>
        <v>8.4513652941597677</v>
      </c>
      <c r="K1818" s="3">
        <f t="shared" si="1116"/>
        <v>7.6141408678939051</v>
      </c>
    </row>
    <row r="1819" spans="2:11" x14ac:dyDescent="0.35">
      <c r="B1819" s="5" t="str">
        <f t="shared" si="1101"/>
        <v>SPS3</v>
      </c>
      <c r="C1819" s="5" t="str">
        <f>C1817</f>
        <v>CH</v>
      </c>
      <c r="D1819" t="s">
        <v>1899</v>
      </c>
      <c r="E1819" t="str">
        <f>E1818</f>
        <v>GWth/yr.</v>
      </c>
      <c r="F1819" s="1">
        <f>SUM(F1820,F1823,F1825,F1828,F1830,F1832,F1834,F1836)</f>
        <v>9.3028001236628661</v>
      </c>
      <c r="G1819" s="1">
        <f t="shared" ref="G1819:K1819" si="1117">SUM(G1820,G1823,G1825,G1828,G1830,G1832,G1834,G1836)</f>
        <v>9.6572337586584052</v>
      </c>
      <c r="H1819" s="1">
        <f t="shared" si="1117"/>
        <v>9.3740838085917719</v>
      </c>
      <c r="I1819" s="1">
        <f t="shared" si="1117"/>
        <v>10.524084807303256</v>
      </c>
      <c r="J1819" s="1">
        <f t="shared" si="1117"/>
        <v>6.303239562439968</v>
      </c>
      <c r="K1819" s="1">
        <f t="shared" si="1117"/>
        <v>5.3220977955468465</v>
      </c>
    </row>
    <row r="1820" spans="2:11" x14ac:dyDescent="0.35">
      <c r="B1820" s="5" t="str">
        <f t="shared" si="1101"/>
        <v>SPS3</v>
      </c>
      <c r="C1820" s="5" t="str">
        <f>C1818</f>
        <v>CH</v>
      </c>
      <c r="D1820" t="s">
        <v>1862</v>
      </c>
      <c r="E1820" t="str">
        <f>E1818</f>
        <v>GWth/yr.</v>
      </c>
      <c r="F1820" s="1">
        <f>SUM(F1821:F1822)</f>
        <v>2.1116643927341716</v>
      </c>
      <c r="G1820" s="1">
        <f t="shared" ref="G1820:K1820" si="1118">SUM(G1821:G1822)</f>
        <v>2.383266305722616</v>
      </c>
      <c r="H1820" s="1">
        <f t="shared" si="1118"/>
        <v>2.802785754340388</v>
      </c>
      <c r="I1820" s="1">
        <f t="shared" si="1118"/>
        <v>3.8753516043742922</v>
      </c>
      <c r="J1820" s="1">
        <f t="shared" si="1118"/>
        <v>4.8861378376229592</v>
      </c>
      <c r="K1820" s="1">
        <f t="shared" si="1118"/>
        <v>4.4751104777884398</v>
      </c>
    </row>
    <row r="1821" spans="2:11" x14ac:dyDescent="0.35">
      <c r="B1821" s="5" t="str">
        <f t="shared" si="1101"/>
        <v>SPS3</v>
      </c>
      <c r="C1821" s="5" t="str">
        <f t="shared" ref="C1821" si="1119">C1820</f>
        <v>CH</v>
      </c>
      <c r="D1821" t="s">
        <v>1863</v>
      </c>
      <c r="E1821" t="str">
        <f t="shared" ref="E1821:E1884" si="1120">E1820</f>
        <v>GWth/yr.</v>
      </c>
      <c r="F1821" s="1" cm="1">
        <f t="array" ref="F1821">SUMPRODUCT(([1]OUT_FinalEnergyCons!$B$4:$B$10000="var_cap")*1,(ISNUMBER(SEARCH("RH*-SHELCBR",[1]OUT_FinalEnergyCons!$A$4:$A$10000)))*1,[1]OUT_FinalEnergyCons!D$4:D$10000)</f>
        <v>0.67257286553466866</v>
      </c>
      <c r="G1821" s="1" cm="1">
        <f t="array" ref="G1821">SUMPRODUCT(([1]OUT_FinalEnergyCons!$B$4:$B$10000="var_cap")*1,(ISNUMBER(SEARCH("RH*-SHELCBR",[1]OUT_FinalEnergyCons!$A$4:$A$10000)))*1,[1]OUT_FinalEnergyCons!E$4:E$10000)</f>
        <v>0.719560389038298</v>
      </c>
      <c r="H1821" s="1" cm="1">
        <f t="array" ref="H1821">SUMPRODUCT(([1]OUT_FinalEnergyCons!$B$4:$B$10000="var_cap")*1,(ISNUMBER(SEARCH("RH*-SHELCBR",[1]OUT_FinalEnergyCons!$A$4:$A$10000)))*1,[1]OUT_FinalEnergyCons!F$4:F$10000)</f>
        <v>0.14504303864547971</v>
      </c>
      <c r="I1821" s="1" cm="1">
        <f t="array" ref="I1821">SUMPRODUCT(([1]OUT_FinalEnergyCons!$B$4:$B$10000="var_cap")*1,(ISNUMBER(SEARCH("RH*-SHELCBR",[1]OUT_FinalEnergyCons!$A$4:$A$10000)))*1,[1]OUT_FinalEnergyCons!G$4:G$10000)</f>
        <v>4.9184331961625617E-2</v>
      </c>
      <c r="J1821" s="1" cm="1">
        <f t="array" ref="J1821">SUMPRODUCT(([1]OUT_FinalEnergyCons!$B$4:$B$10000="var_cap")*1,(ISNUMBER(SEARCH("RH*-SHELCBR",[1]OUT_FinalEnergyCons!$A$4:$A$10000)))*1,[1]OUT_FinalEnergyCons!H$4:H$10000)</f>
        <v>5.7710570263413011E-3</v>
      </c>
      <c r="K1821" s="1" cm="1">
        <f t="array" ref="K1821">SUMPRODUCT(([1]OUT_FinalEnergyCons!$B$4:$B$10000="var_cap")*1,(ISNUMBER(SEARCH("RH*-SHELCBR",[1]OUT_FinalEnergyCons!$A$4:$A$10000)))*1,[1]OUT_FinalEnergyCons!I$4:I$10000)</f>
        <v>2.4369001465027072E-3</v>
      </c>
    </row>
    <row r="1822" spans="2:11" x14ac:dyDescent="0.35">
      <c r="B1822" s="5" t="str">
        <f t="shared" si="1101"/>
        <v>SPS3</v>
      </c>
      <c r="C1822" s="5" t="str">
        <f t="shared" ref="C1822" si="1121">C1821</f>
        <v>CH</v>
      </c>
      <c r="D1822" t="s">
        <v>1864</v>
      </c>
      <c r="E1822" t="str">
        <f t="shared" si="1120"/>
        <v>GWth/yr.</v>
      </c>
      <c r="F1822" s="1" cm="1">
        <f t="array" ref="F1822">SUMPRODUCT(([1]OUT_FinalEnergyCons!$B$4:$B$10000="var_cap")*1,ISNUMBER(SEARCH("RH*-SHELCHP",[1]OUT_FinalEnergyCons!$A$4:$A$10000))*1,[1]OUT_FinalEnergyCons!D$4:D$10000)</f>
        <v>1.4390915271995031</v>
      </c>
      <c r="G1822" s="1" cm="1">
        <f t="array" ref="G1822">SUMPRODUCT(([1]OUT_FinalEnergyCons!$B$4:$B$10000="var_cap")*1,ISNUMBER(SEARCH("RH*-SHELCHP",[1]OUT_FinalEnergyCons!$A$4:$A$10000))*1,[1]OUT_FinalEnergyCons!E$4:E$10000)</f>
        <v>1.663705916684318</v>
      </c>
      <c r="H1822" s="1" cm="1">
        <f t="array" ref="H1822">SUMPRODUCT(([1]OUT_FinalEnergyCons!$B$4:$B$10000="var_cap")*1,ISNUMBER(SEARCH("RH*-SHELCHP",[1]OUT_FinalEnergyCons!$A$4:$A$10000))*1,[1]OUT_FinalEnergyCons!F$4:F$10000)</f>
        <v>2.6577427156949085</v>
      </c>
      <c r="I1822" s="1" cm="1">
        <f t="array" ref="I1822">SUMPRODUCT(([1]OUT_FinalEnergyCons!$B$4:$B$10000="var_cap")*1,ISNUMBER(SEARCH("RH*-SHELCHP",[1]OUT_FinalEnergyCons!$A$4:$A$10000))*1,[1]OUT_FinalEnergyCons!G$4:G$10000)</f>
        <v>3.8261672724126665</v>
      </c>
      <c r="J1822" s="1" cm="1">
        <f t="array" ref="J1822">SUMPRODUCT(([1]OUT_FinalEnergyCons!$B$4:$B$10000="var_cap")*1,ISNUMBER(SEARCH("RH*-SHELCHP",[1]OUT_FinalEnergyCons!$A$4:$A$10000))*1,[1]OUT_FinalEnergyCons!H$4:H$10000)</f>
        <v>4.880366780596618</v>
      </c>
      <c r="K1822" s="1" cm="1">
        <f t="array" ref="K1822">SUMPRODUCT(([1]OUT_FinalEnergyCons!$B$4:$B$10000="var_cap")*1,ISNUMBER(SEARCH("RH*-SHELCHP",[1]OUT_FinalEnergyCons!$A$4:$A$10000))*1,[1]OUT_FinalEnergyCons!I$4:I$10000)</f>
        <v>4.4726735776419373</v>
      </c>
    </row>
    <row r="1823" spans="2:11" x14ac:dyDescent="0.35">
      <c r="B1823" s="5" t="str">
        <f t="shared" si="1101"/>
        <v>SPS3</v>
      </c>
      <c r="C1823" s="5" t="str">
        <f t="shared" ref="C1823" si="1122">C1822</f>
        <v>CH</v>
      </c>
      <c r="D1823" t="s">
        <v>1865</v>
      </c>
      <c r="E1823" t="str">
        <f t="shared" si="1120"/>
        <v>GWth/yr.</v>
      </c>
      <c r="F1823" s="1">
        <f>F1824</f>
        <v>3.4074053831106799</v>
      </c>
      <c r="G1823" s="1">
        <f t="shared" ref="G1823:K1823" si="1123">G1824</f>
        <v>3.2021179978427576</v>
      </c>
      <c r="H1823" s="1">
        <f t="shared" si="1123"/>
        <v>2.6200678508430815</v>
      </c>
      <c r="I1823" s="1">
        <f t="shared" si="1123"/>
        <v>2.5162290415688613</v>
      </c>
      <c r="J1823" s="1">
        <f t="shared" si="1123"/>
        <v>0.15704927232784943</v>
      </c>
      <c r="K1823" s="1">
        <f t="shared" si="1123"/>
        <v>1.4204174131698499E-2</v>
      </c>
    </row>
    <row r="1824" spans="2:11" x14ac:dyDescent="0.35">
      <c r="B1824" s="5" t="str">
        <f t="shared" si="1101"/>
        <v>SPS3</v>
      </c>
      <c r="C1824" s="5" t="str">
        <f t="shared" ref="C1824" si="1124">C1823</f>
        <v>CH</v>
      </c>
      <c r="D1824" t="s">
        <v>1866</v>
      </c>
      <c r="E1824" t="str">
        <f t="shared" si="1120"/>
        <v>GWth/yr.</v>
      </c>
      <c r="F1824" s="1" cm="1">
        <f t="array" ref="F1824">SUMPRODUCT(([1]OUT_FinalEnergyCons!$B$4:$B$10000="var_cap")*1, (ISNUMBER(SEARCH("RH*-SHLFOBR",[1]OUT_FinalEnergyCons!$A$4:$A$10000)))*1,[1]OUT_FinalEnergyCons!D$4:D$10000)</f>
        <v>3.4074053831106799</v>
      </c>
      <c r="G1824" s="1" cm="1">
        <f t="array" ref="G1824">SUMPRODUCT(([1]OUT_FinalEnergyCons!$B$4:$B$10000="var_cap")*1, (ISNUMBER(SEARCH("RH*-SHLFOBR",[1]OUT_FinalEnergyCons!$A$4:$A$10000)))*1,[1]OUT_FinalEnergyCons!E$4:E$10000)</f>
        <v>3.2021179978427576</v>
      </c>
      <c r="H1824" s="1" cm="1">
        <f t="array" ref="H1824">SUMPRODUCT(([1]OUT_FinalEnergyCons!$B$4:$B$10000="var_cap")*1, (ISNUMBER(SEARCH("RH*-SHLFOBR",[1]OUT_FinalEnergyCons!$A$4:$A$10000)))*1,[1]OUT_FinalEnergyCons!F$4:F$10000)</f>
        <v>2.6200678508430815</v>
      </c>
      <c r="I1824" s="1" cm="1">
        <f t="array" ref="I1824">SUMPRODUCT(([1]OUT_FinalEnergyCons!$B$4:$B$10000="var_cap")*1, (ISNUMBER(SEARCH("RH*-SHLFOBR",[1]OUT_FinalEnergyCons!$A$4:$A$10000)))*1,[1]OUT_FinalEnergyCons!G$4:G$10000)</f>
        <v>2.5162290415688613</v>
      </c>
      <c r="J1824" s="1" cm="1">
        <f t="array" ref="J1824">SUMPRODUCT(([1]OUT_FinalEnergyCons!$B$4:$B$10000="var_cap")*1, (ISNUMBER(SEARCH("RH*-SHLFOBR",[1]OUT_FinalEnergyCons!$A$4:$A$10000)))*1,[1]OUT_FinalEnergyCons!H$4:H$10000)</f>
        <v>0.15704927232784943</v>
      </c>
      <c r="K1824" s="1" cm="1">
        <f t="array" ref="K1824">SUMPRODUCT(([1]OUT_FinalEnergyCons!$B$4:$B$10000="var_cap")*1, (ISNUMBER(SEARCH("RH*-SHLFOBR",[1]OUT_FinalEnergyCons!$A$4:$A$10000)))*1,[1]OUT_FinalEnergyCons!I$4:I$10000)</f>
        <v>1.4204174131698499E-2</v>
      </c>
    </row>
    <row r="1825" spans="2:11" x14ac:dyDescent="0.35">
      <c r="B1825" s="5" t="str">
        <f t="shared" si="1101"/>
        <v>SPS3</v>
      </c>
      <c r="C1825" s="5" t="str">
        <f t="shared" ref="C1825" si="1125">C1824</f>
        <v>CH</v>
      </c>
      <c r="D1825" t="s">
        <v>1867</v>
      </c>
      <c r="E1825" t="str">
        <f t="shared" si="1120"/>
        <v>GWth/yr.</v>
      </c>
      <c r="F1825" s="1">
        <f>SUM(F1826:F1827)</f>
        <v>2.7687543035435849</v>
      </c>
      <c r="G1825" s="1">
        <f t="shared" ref="G1825:K1825" si="1126">SUM(G1826:G1827)</f>
        <v>2.9374339520155357</v>
      </c>
      <c r="H1825" s="1">
        <f t="shared" si="1126"/>
        <v>3.0093220950440025</v>
      </c>
      <c r="I1825" s="1">
        <f t="shared" si="1126"/>
        <v>3.1941036840918269</v>
      </c>
      <c r="J1825" s="1">
        <f t="shared" si="1126"/>
        <v>0.8993848964966854</v>
      </c>
      <c r="K1825" s="1">
        <f t="shared" si="1126"/>
        <v>0.6463659970458826</v>
      </c>
    </row>
    <row r="1826" spans="2:11" x14ac:dyDescent="0.35">
      <c r="B1826" s="5" t="str">
        <f t="shared" si="1101"/>
        <v>SPS3</v>
      </c>
      <c r="C1826" s="5" t="str">
        <f t="shared" ref="C1826" si="1127">C1825</f>
        <v>CH</v>
      </c>
      <c r="D1826" t="s">
        <v>1868</v>
      </c>
      <c r="E1826" t="str">
        <f t="shared" si="1120"/>
        <v>GWth/yr.</v>
      </c>
      <c r="F1826" s="1" cm="1">
        <f t="array" ref="F1826">SUMPRODUCT(([1]OUT_FinalEnergyCons!$B$4:$B$10000="var_cap")*1, (ISNUMBER(SEARCH("RH*-SHNGABR",[1]OUT_FinalEnergyCons!$A$4:$A$10000)))*1,[1]OUT_FinalEnergyCons!D$4:D$10000)</f>
        <v>2.7687540512383499</v>
      </c>
      <c r="G1826" s="1" cm="1">
        <f t="array" ref="G1826">SUMPRODUCT(([1]OUT_FinalEnergyCons!$B$4:$B$10000="var_cap")*1, (ISNUMBER(SEARCH("RH*-SHNGABR",[1]OUT_FinalEnergyCons!$A$4:$A$10000)))*1,[1]OUT_FinalEnergyCons!E$4:E$10000)</f>
        <v>2.9374282531594353</v>
      </c>
      <c r="H1826" s="1" cm="1">
        <f t="array" ref="H1826">SUMPRODUCT(([1]OUT_FinalEnergyCons!$B$4:$B$10000="var_cap")*1, (ISNUMBER(SEARCH("RH*-SHNGABR",[1]OUT_FinalEnergyCons!$A$4:$A$10000)))*1,[1]OUT_FinalEnergyCons!F$4:F$10000)</f>
        <v>2.6889884782357787</v>
      </c>
      <c r="I1826" s="1" cm="1">
        <f t="array" ref="I1826">SUMPRODUCT(([1]OUT_FinalEnergyCons!$B$4:$B$10000="var_cap")*1, (ISNUMBER(SEARCH("RH*-SHNGABR",[1]OUT_FinalEnergyCons!$A$4:$A$10000)))*1,[1]OUT_FinalEnergyCons!G$4:G$10000)</f>
        <v>2.6870899323472242</v>
      </c>
      <c r="J1826" s="1" cm="1">
        <f t="array" ref="J1826">SUMPRODUCT(([1]OUT_FinalEnergyCons!$B$4:$B$10000="var_cap")*1, (ISNUMBER(SEARCH("RH*-SHNGABR",[1]OUT_FinalEnergyCons!$A$4:$A$10000)))*1,[1]OUT_FinalEnergyCons!H$4:H$10000)</f>
        <v>0.27097521438237304</v>
      </c>
      <c r="K1826" s="1" cm="1">
        <f t="array" ref="K1826">SUMPRODUCT(([1]OUT_FinalEnergyCons!$B$4:$B$10000="var_cap")*1, (ISNUMBER(SEARCH("RH*-SHNGABR",[1]OUT_FinalEnergyCons!$A$4:$A$10000)))*1,[1]OUT_FinalEnergyCons!I$4:I$10000)</f>
        <v>0.15885225353751214</v>
      </c>
    </row>
    <row r="1827" spans="2:11" x14ac:dyDescent="0.35">
      <c r="B1827" s="5" t="str">
        <f t="shared" si="1101"/>
        <v>SPS3</v>
      </c>
      <c r="C1827" s="5" t="str">
        <f t="shared" ref="C1827" si="1128">C1826</f>
        <v>CH</v>
      </c>
      <c r="D1827" t="s">
        <v>1869</v>
      </c>
      <c r="E1827" t="str">
        <f t="shared" si="1120"/>
        <v>GWth/yr.</v>
      </c>
      <c r="F1827" s="1" cm="1">
        <f t="array" ref="F1827">SUMPRODUCT(([1]OUT_FinalEnergyCons!$B$4:$B$10000="var_cap")*1,ISNUMBER(SEARCH("RH*-SHngahp",[1]OUT_FinalEnergyCons!$A$4:$A$10000))*1,[1]OUT_FinalEnergyCons!D$4:D$10000)</f>
        <v>2.5230523493836002E-7</v>
      </c>
      <c r="G1827" s="1" cm="1">
        <f t="array" ref="G1827">SUMPRODUCT(([1]OUT_FinalEnergyCons!$B$4:$B$10000="var_cap")*1,ISNUMBER(SEARCH("RH*-SHngahp",[1]OUT_FinalEnergyCons!$A$4:$A$10000))*1,[1]OUT_FinalEnergyCons!E$4:E$10000)</f>
        <v>5.6988561004759988E-6</v>
      </c>
      <c r="H1827" s="1" cm="1">
        <f t="array" ref="H1827">SUMPRODUCT(([1]OUT_FinalEnergyCons!$B$4:$B$10000="var_cap")*1,ISNUMBER(SEARCH("RH*-SHngahp",[1]OUT_FinalEnergyCons!$A$4:$A$10000))*1,[1]OUT_FinalEnergyCons!F$4:F$10000)</f>
        <v>0.32033361680822381</v>
      </c>
      <c r="I1827" s="1" cm="1">
        <f t="array" ref="I1827">SUMPRODUCT(([1]OUT_FinalEnergyCons!$B$4:$B$10000="var_cap")*1,ISNUMBER(SEARCH("RH*-SHngahp",[1]OUT_FinalEnergyCons!$A$4:$A$10000))*1,[1]OUT_FinalEnergyCons!G$4:G$10000)</f>
        <v>0.50701375174460295</v>
      </c>
      <c r="J1827" s="1" cm="1">
        <f t="array" ref="J1827">SUMPRODUCT(([1]OUT_FinalEnergyCons!$B$4:$B$10000="var_cap")*1,ISNUMBER(SEARCH("RH*-SHngahp",[1]OUT_FinalEnergyCons!$A$4:$A$10000))*1,[1]OUT_FinalEnergyCons!H$4:H$10000)</f>
        <v>0.62840968211431236</v>
      </c>
      <c r="K1827" s="1" cm="1">
        <f t="array" ref="K1827">SUMPRODUCT(([1]OUT_FinalEnergyCons!$B$4:$B$10000="var_cap")*1,ISNUMBER(SEARCH("RH*-SHngahp",[1]OUT_FinalEnergyCons!$A$4:$A$10000))*1,[1]OUT_FinalEnergyCons!I$4:I$10000)</f>
        <v>0.48751374350837046</v>
      </c>
    </row>
    <row r="1828" spans="2:11" x14ac:dyDescent="0.35">
      <c r="B1828" s="5" t="str">
        <f t="shared" si="1101"/>
        <v>SPS3</v>
      </c>
      <c r="C1828" s="5" t="str">
        <f t="shared" ref="C1828" si="1129">C1827</f>
        <v>CH</v>
      </c>
      <c r="D1828" t="s">
        <v>1870</v>
      </c>
      <c r="E1828" t="str">
        <f t="shared" si="1120"/>
        <v>GWth/yr.</v>
      </c>
      <c r="F1828" s="1">
        <f>F1829</f>
        <v>7.0000000000000001E-3</v>
      </c>
      <c r="G1828" s="1">
        <f t="shared" ref="G1828:K1828" si="1130">G1829</f>
        <v>6.9671294419025274E-3</v>
      </c>
      <c r="H1828" s="1">
        <f t="shared" si="1130"/>
        <v>2.74497418884837E-3</v>
      </c>
      <c r="I1828" s="1">
        <f t="shared" si="1130"/>
        <v>4.5602383467900284E-6</v>
      </c>
      <c r="J1828" s="1">
        <f t="shared" si="1130"/>
        <v>0</v>
      </c>
      <c r="K1828" s="1">
        <f t="shared" si="1130"/>
        <v>0</v>
      </c>
    </row>
    <row r="1829" spans="2:11" x14ac:dyDescent="0.35">
      <c r="B1829" s="5" t="str">
        <f t="shared" si="1101"/>
        <v>SPS3</v>
      </c>
      <c r="C1829" s="5" t="str">
        <f t="shared" ref="C1829" si="1131">C1828</f>
        <v>CH</v>
      </c>
      <c r="D1829" t="s">
        <v>1871</v>
      </c>
      <c r="E1829" t="str">
        <f t="shared" si="1120"/>
        <v>GWth/yr.</v>
      </c>
      <c r="F1829" s="1" cm="1">
        <f t="array" ref="F1829">SUMPRODUCT(([1]OUT_FinalEnergyCons!$B$4:$B$10000="var_cap")*1, (ISNUMBER(SEARCH("RH*-SHCOABR",[1]OUT_FinalEnergyCons!$A$4:$A$10000)))*1,[1]OUT_FinalEnergyCons!D$4:D$10000)</f>
        <v>7.0000000000000001E-3</v>
      </c>
      <c r="G1829" s="1" cm="1">
        <f t="array" ref="G1829">SUMPRODUCT(([1]OUT_FinalEnergyCons!$B$4:$B$10000="var_cap")*1, (ISNUMBER(SEARCH("RH*-SHCOABR",[1]OUT_FinalEnergyCons!$A$4:$A$10000)))*1,[1]OUT_FinalEnergyCons!E$4:E$10000)</f>
        <v>6.9671294419025274E-3</v>
      </c>
      <c r="H1829" s="1" cm="1">
        <f t="array" ref="H1829">SUMPRODUCT(([1]OUT_FinalEnergyCons!$B$4:$B$10000="var_cap")*1, (ISNUMBER(SEARCH("RH*-SHCOABR",[1]OUT_FinalEnergyCons!$A$4:$A$10000)))*1,[1]OUT_FinalEnergyCons!F$4:F$10000)</f>
        <v>2.74497418884837E-3</v>
      </c>
      <c r="I1829" s="1" cm="1">
        <f t="array" ref="I1829">SUMPRODUCT(([1]OUT_FinalEnergyCons!$B$4:$B$10000="var_cap")*1, (ISNUMBER(SEARCH("RH*-SHCOABR",[1]OUT_FinalEnergyCons!$A$4:$A$10000)))*1,[1]OUT_FinalEnergyCons!G$4:G$10000)</f>
        <v>4.5602383467900284E-6</v>
      </c>
      <c r="J1829" s="1" cm="1">
        <f t="array" ref="J1829">SUMPRODUCT(([1]OUT_FinalEnergyCons!$B$4:$B$10000="var_cap")*1, (ISNUMBER(SEARCH("RH*-SHCOABR",[1]OUT_FinalEnergyCons!$A$4:$A$10000)))*1,[1]OUT_FinalEnergyCons!H$4:H$10000)</f>
        <v>0</v>
      </c>
      <c r="K1829" s="1" cm="1">
        <f t="array" ref="K1829">SUMPRODUCT(([1]OUT_FinalEnergyCons!$B$4:$B$10000="var_cap")*1, (ISNUMBER(SEARCH("RH*-SHCOABR",[1]OUT_FinalEnergyCons!$A$4:$A$10000)))*1,[1]OUT_FinalEnergyCons!I$4:I$10000)</f>
        <v>0</v>
      </c>
    </row>
    <row r="1830" spans="2:11" x14ac:dyDescent="0.35">
      <c r="B1830" s="5" t="str">
        <f t="shared" si="1101"/>
        <v>SPS3</v>
      </c>
      <c r="C1830" s="5" t="str">
        <f>C1829</f>
        <v>CH</v>
      </c>
      <c r="D1830" t="s">
        <v>1872</v>
      </c>
      <c r="E1830" t="str">
        <f>E1829</f>
        <v>GWth/yr.</v>
      </c>
      <c r="F1830" s="1">
        <f>F1831</f>
        <v>0.68950308481431732</v>
      </c>
      <c r="G1830" s="1">
        <f t="shared" ref="G1830:K1830" si="1132">G1831</f>
        <v>0.75019284038312672</v>
      </c>
      <c r="H1830" s="1">
        <f t="shared" si="1132"/>
        <v>0.78507509879354831</v>
      </c>
      <c r="I1830" s="1">
        <f t="shared" si="1132"/>
        <v>0.78472209547227745</v>
      </c>
      <c r="J1830" s="1">
        <f t="shared" si="1132"/>
        <v>0.34553874901634157</v>
      </c>
      <c r="K1830" s="1">
        <f t="shared" si="1132"/>
        <v>0.17449749846392901</v>
      </c>
    </row>
    <row r="1831" spans="2:11" x14ac:dyDescent="0.35">
      <c r="B1831" s="5" t="str">
        <f t="shared" si="1101"/>
        <v>SPS3</v>
      </c>
      <c r="C1831" s="5" t="str">
        <f t="shared" ref="C1831" si="1133">C1830</f>
        <v>CH</v>
      </c>
      <c r="D1831" t="s">
        <v>1873</v>
      </c>
      <c r="E1831" t="str">
        <f t="shared" si="1120"/>
        <v>GWth/yr.</v>
      </c>
      <c r="F1831" s="1" cm="1">
        <f t="array" ref="F1831">SUMPRODUCT(([1]OUT_FinalEnergyCons!$B$4:$B$10000="var_cap")*1, (ISNUMBER(SEARCH("RH*-SHWODBR",[1]OUT_FinalEnergyCons!$A$4:$A$10000)))*1,[1]OUT_FinalEnergyCons!D$4:D$10000)</f>
        <v>0.68950308481431732</v>
      </c>
      <c r="G1831" s="1" cm="1">
        <f t="array" ref="G1831">SUMPRODUCT(([1]OUT_FinalEnergyCons!$B$4:$B$10000="var_cap")*1, (ISNUMBER(SEARCH("RH*-SHWODBR",[1]OUT_FinalEnergyCons!$A$4:$A$10000)))*1,[1]OUT_FinalEnergyCons!E$4:E$10000)</f>
        <v>0.75019284038312672</v>
      </c>
      <c r="H1831" s="1" cm="1">
        <f t="array" ref="H1831">SUMPRODUCT(([1]OUT_FinalEnergyCons!$B$4:$B$10000="var_cap")*1, (ISNUMBER(SEARCH("RH*-SHWODBR",[1]OUT_FinalEnergyCons!$A$4:$A$10000)))*1,[1]OUT_FinalEnergyCons!F$4:F$10000)</f>
        <v>0.78507509879354831</v>
      </c>
      <c r="I1831" s="1" cm="1">
        <f t="array" ref="I1831">SUMPRODUCT(([1]OUT_FinalEnergyCons!$B$4:$B$10000="var_cap")*1, (ISNUMBER(SEARCH("RH*-SHWODBR",[1]OUT_FinalEnergyCons!$A$4:$A$10000)))*1,[1]OUT_FinalEnergyCons!G$4:G$10000)</f>
        <v>0.78472209547227745</v>
      </c>
      <c r="J1831" s="1" cm="1">
        <f t="array" ref="J1831">SUMPRODUCT(([1]OUT_FinalEnergyCons!$B$4:$B$10000="var_cap")*1, (ISNUMBER(SEARCH("RH*-SHWODBR",[1]OUT_FinalEnergyCons!$A$4:$A$10000)))*1,[1]OUT_FinalEnergyCons!H$4:H$10000)</f>
        <v>0.34553874901634157</v>
      </c>
      <c r="K1831" s="1" cm="1">
        <f t="array" ref="K1831">SUMPRODUCT(([1]OUT_FinalEnergyCons!$B$4:$B$10000="var_cap")*1, (ISNUMBER(SEARCH("RH*-SHWODBR",[1]OUT_FinalEnergyCons!$A$4:$A$10000)))*1,[1]OUT_FinalEnergyCons!I$4:I$10000)</f>
        <v>0.17449749846392901</v>
      </c>
    </row>
    <row r="1832" spans="2:11" x14ac:dyDescent="0.35">
      <c r="B1832" s="5" t="str">
        <f t="shared" si="1101"/>
        <v>SPS3</v>
      </c>
      <c r="C1832" s="5" t="str">
        <f t="shared" ref="C1832" si="1134">C1831</f>
        <v>CH</v>
      </c>
      <c r="D1832" t="s">
        <v>1874</v>
      </c>
      <c r="E1832" t="str">
        <f t="shared" si="1120"/>
        <v>GWth/yr.</v>
      </c>
      <c r="F1832" s="1">
        <f>F1833</f>
        <v>0.204389861216972</v>
      </c>
      <c r="G1832" s="1">
        <f t="shared" ref="G1832:K1832" si="1135">G1833</f>
        <v>0.24035153041506302</v>
      </c>
      <c r="H1832" s="1">
        <f t="shared" si="1135"/>
        <v>1.767998849454816E-2</v>
      </c>
      <c r="I1832" s="1">
        <f t="shared" si="1135"/>
        <v>1.7273436584561441E-2</v>
      </c>
      <c r="J1832" s="1">
        <f t="shared" si="1135"/>
        <v>6.8321333478541576E-3</v>
      </c>
      <c r="K1832" s="1">
        <f t="shared" si="1135"/>
        <v>3.9066957867421141E-3</v>
      </c>
    </row>
    <row r="1833" spans="2:11" x14ac:dyDescent="0.35">
      <c r="B1833" s="5" t="str">
        <f t="shared" si="1101"/>
        <v>SPS3</v>
      </c>
      <c r="C1833" s="5" t="str">
        <f t="shared" ref="C1833" si="1136">C1832</f>
        <v>CH</v>
      </c>
      <c r="D1833" t="s">
        <v>1875</v>
      </c>
      <c r="E1833" t="str">
        <f t="shared" si="1120"/>
        <v>GWth/yr.</v>
      </c>
      <c r="F1833" s="1" cm="1">
        <f t="array" ref="F1833">SUMPRODUCT(([1]OUT_FinalEnergyCons!$B$4:$B$10000="var_cap")*1, (ISNUMBER(SEARCH("RH*-SHPLTBR",[1]OUT_FinalEnergyCons!$A$4:$A$10000)))*1,[1]OUT_FinalEnergyCons!D$4:D$10000)</f>
        <v>0.204389861216972</v>
      </c>
      <c r="G1833" s="1" cm="1">
        <f t="array" ref="G1833">SUMPRODUCT(([1]OUT_FinalEnergyCons!$B$4:$B$10000="var_cap")*1, (ISNUMBER(SEARCH("RH*-SHPLTBR",[1]OUT_FinalEnergyCons!$A$4:$A$10000)))*1,[1]OUT_FinalEnergyCons!E$4:E$10000)</f>
        <v>0.24035153041506302</v>
      </c>
      <c r="H1833" s="1" cm="1">
        <f t="array" ref="H1833">SUMPRODUCT(([1]OUT_FinalEnergyCons!$B$4:$B$10000="var_cap")*1, (ISNUMBER(SEARCH("RH*-SHPLTBR",[1]OUT_FinalEnergyCons!$A$4:$A$10000)))*1,[1]OUT_FinalEnergyCons!F$4:F$10000)</f>
        <v>1.767998849454816E-2</v>
      </c>
      <c r="I1833" s="1" cm="1">
        <f t="array" ref="I1833">SUMPRODUCT(([1]OUT_FinalEnergyCons!$B$4:$B$10000="var_cap")*1, (ISNUMBER(SEARCH("RH*-SHPLTBR",[1]OUT_FinalEnergyCons!$A$4:$A$10000)))*1,[1]OUT_FinalEnergyCons!G$4:G$10000)</f>
        <v>1.7273436584561441E-2</v>
      </c>
      <c r="J1833" s="1" cm="1">
        <f t="array" ref="J1833">SUMPRODUCT(([1]OUT_FinalEnergyCons!$B$4:$B$10000="var_cap")*1, (ISNUMBER(SEARCH("RH*-SHPLTBR",[1]OUT_FinalEnergyCons!$A$4:$A$10000)))*1,[1]OUT_FinalEnergyCons!H$4:H$10000)</f>
        <v>6.8321333478541576E-3</v>
      </c>
      <c r="K1833" s="1" cm="1">
        <f t="array" ref="K1833">SUMPRODUCT(([1]OUT_FinalEnergyCons!$B$4:$B$10000="var_cap")*1, (ISNUMBER(SEARCH("RH*-SHPLTBR",[1]OUT_FinalEnergyCons!$A$4:$A$10000)))*1,[1]OUT_FinalEnergyCons!I$4:I$10000)</f>
        <v>3.9066957867421141E-3</v>
      </c>
    </row>
    <row r="1834" spans="2:11" x14ac:dyDescent="0.35">
      <c r="B1834" s="5" t="str">
        <f t="shared" si="1101"/>
        <v>SPS3</v>
      </c>
      <c r="C1834" s="5" t="str">
        <f t="shared" ref="C1834" si="1137">C1833</f>
        <v>CH</v>
      </c>
      <c r="D1834" t="s">
        <v>1876</v>
      </c>
      <c r="E1834" t="str">
        <f t="shared" si="1120"/>
        <v>GWth/yr.</v>
      </c>
      <c r="F1834" s="1">
        <f>F1835</f>
        <v>0.11408309824313989</v>
      </c>
      <c r="G1834" s="1">
        <f t="shared" ref="G1834:K1834" si="1138">G1835</f>
        <v>0.13690400283740528</v>
      </c>
      <c r="H1834" s="1">
        <f t="shared" si="1138"/>
        <v>0.13640804688735594</v>
      </c>
      <c r="I1834" s="1">
        <f t="shared" si="1138"/>
        <v>0.13640038497308943</v>
      </c>
      <c r="J1834" s="1">
        <f t="shared" si="1138"/>
        <v>8.2966736282784788E-3</v>
      </c>
      <c r="K1834" s="1">
        <f t="shared" si="1138"/>
        <v>8.012952330154529E-3</v>
      </c>
    </row>
    <row r="1835" spans="2:11" x14ac:dyDescent="0.35">
      <c r="B1835" s="5" t="str">
        <f t="shared" si="1101"/>
        <v>SPS3</v>
      </c>
      <c r="C1835" s="5" t="str">
        <f t="shared" ref="C1835" si="1139">C1834</f>
        <v>CH</v>
      </c>
      <c r="D1835" t="s">
        <v>1877</v>
      </c>
      <c r="E1835" t="str">
        <f t="shared" si="1120"/>
        <v>GWth/yr.</v>
      </c>
      <c r="F1835" s="1" cm="1">
        <f t="array" ref="F1835">SUMPRODUCT(([1]OUT_FinalEnergyCons!$B$4:$B$10000="var_cap")*1, (ISNUMBER(SEARCH("RH*-SHSOLBR",[1]OUT_FinalEnergyCons!$A$4:$A$10000)))*1,[1]OUT_FinalEnergyCons!D$4:D$10000)</f>
        <v>0.11408309824313989</v>
      </c>
      <c r="G1835" s="1" cm="1">
        <f t="array" ref="G1835">SUMPRODUCT(([1]OUT_FinalEnergyCons!$B$4:$B$10000="var_cap")*1, (ISNUMBER(SEARCH("RH*-SHSOLBR",[1]OUT_FinalEnergyCons!$A$4:$A$10000)))*1,[1]OUT_FinalEnergyCons!E$4:E$10000)</f>
        <v>0.13690400283740528</v>
      </c>
      <c r="H1835" s="1" cm="1">
        <f t="array" ref="H1835">SUMPRODUCT(([1]OUT_FinalEnergyCons!$B$4:$B$10000="var_cap")*1, (ISNUMBER(SEARCH("RH*-SHSOLBR",[1]OUT_FinalEnergyCons!$A$4:$A$10000)))*1,[1]OUT_FinalEnergyCons!F$4:F$10000)</f>
        <v>0.13640804688735594</v>
      </c>
      <c r="I1835" s="1" cm="1">
        <f t="array" ref="I1835">SUMPRODUCT(([1]OUT_FinalEnergyCons!$B$4:$B$10000="var_cap")*1, (ISNUMBER(SEARCH("RH*-SHSOLBR",[1]OUT_FinalEnergyCons!$A$4:$A$10000)))*1,[1]OUT_FinalEnergyCons!G$4:G$10000)</f>
        <v>0.13640038497308943</v>
      </c>
      <c r="J1835" s="1" cm="1">
        <f t="array" ref="J1835">SUMPRODUCT(([1]OUT_FinalEnergyCons!$B$4:$B$10000="var_cap")*1, (ISNUMBER(SEARCH("RH*-SHSOLBR",[1]OUT_FinalEnergyCons!$A$4:$A$10000)))*1,[1]OUT_FinalEnergyCons!H$4:H$10000)</f>
        <v>8.2966736282784788E-3</v>
      </c>
      <c r="K1835" s="1" cm="1">
        <f t="array" ref="K1835">SUMPRODUCT(([1]OUT_FinalEnergyCons!$B$4:$B$10000="var_cap")*1, (ISNUMBER(SEARCH("RH*-SHSOLBR",[1]OUT_FinalEnergyCons!$A$4:$A$10000)))*1,[1]OUT_FinalEnergyCons!I$4:I$10000)</f>
        <v>8.012952330154529E-3</v>
      </c>
    </row>
    <row r="1836" spans="2:11" x14ac:dyDescent="0.35">
      <c r="B1836" s="5" t="str">
        <f t="shared" si="1101"/>
        <v>SPS3</v>
      </c>
      <c r="C1836" s="5" t="str">
        <f t="shared" ref="C1836" si="1140">C1835</f>
        <v>CH</v>
      </c>
      <c r="D1836" t="s">
        <v>1878</v>
      </c>
      <c r="E1836" t="str">
        <f t="shared" si="1120"/>
        <v>GWth/yr.</v>
      </c>
      <c r="F1836" s="1">
        <f>F1837</f>
        <v>0</v>
      </c>
      <c r="G1836" s="1">
        <f t="shared" ref="G1836:K1836" si="1141">G1837</f>
        <v>0</v>
      </c>
      <c r="H1836" s="1">
        <f t="shared" si="1141"/>
        <v>0</v>
      </c>
      <c r="I1836" s="1">
        <f t="shared" si="1141"/>
        <v>0</v>
      </c>
      <c r="J1836" s="1">
        <f t="shared" si="1141"/>
        <v>0</v>
      </c>
      <c r="K1836" s="1">
        <f t="shared" si="1141"/>
        <v>0</v>
      </c>
    </row>
    <row r="1837" spans="2:11" x14ac:dyDescent="0.35">
      <c r="B1837" s="5" t="str">
        <f t="shared" si="1101"/>
        <v>SPS3</v>
      </c>
      <c r="C1837" s="5" t="str">
        <f t="shared" ref="C1837" si="1142">C1836</f>
        <v>CH</v>
      </c>
      <c r="D1837" t="s">
        <v>1879</v>
      </c>
      <c r="E1837" t="str">
        <f t="shared" si="1120"/>
        <v>GWth/yr.</v>
      </c>
      <c r="F1837" s="1" cm="1">
        <f t="array" ref="F1837">SUMPRODUCT(([1]OUT_FinalEnergyCons!$B$4:$B$10000="var_cap")*1, (ISNUMBER(SEARCH("RH*-SHH2BR",[1]OUT_FinalEnergyCons!$A$4:$A$10000)))*1,[1]OUT_FinalEnergyCons!D$4:D$10000)</f>
        <v>0</v>
      </c>
      <c r="G1837" s="1" cm="1">
        <f t="array" ref="G1837">SUMPRODUCT(([1]OUT_FinalEnergyCons!$B$4:$B$10000="var_cap")*1, (ISNUMBER(SEARCH("RH*-SHH2BR",[1]OUT_FinalEnergyCons!$A$4:$A$10000)))*1,[1]OUT_FinalEnergyCons!E$4:E$10000)</f>
        <v>0</v>
      </c>
      <c r="H1837" s="1" cm="1">
        <f t="array" ref="H1837">SUMPRODUCT(([1]OUT_FinalEnergyCons!$B$4:$B$10000="var_cap")*1, (ISNUMBER(SEARCH("RH*-SHH2BR",[1]OUT_FinalEnergyCons!$A$4:$A$10000)))*1,[1]OUT_FinalEnergyCons!F$4:F$10000)</f>
        <v>0</v>
      </c>
      <c r="I1837" s="1" cm="1">
        <f t="array" ref="I1837">SUMPRODUCT(([1]OUT_FinalEnergyCons!$B$4:$B$10000="var_cap")*1, (ISNUMBER(SEARCH("RH*-SHH2BR",[1]OUT_FinalEnergyCons!$A$4:$A$10000)))*1,[1]OUT_FinalEnergyCons!G$4:G$10000)</f>
        <v>0</v>
      </c>
      <c r="J1837" s="1" cm="1">
        <f t="array" ref="J1837">SUMPRODUCT(([1]OUT_FinalEnergyCons!$B$4:$B$10000="var_cap")*1, (ISNUMBER(SEARCH("RH*-SHH2BR",[1]OUT_FinalEnergyCons!$A$4:$A$10000)))*1,[1]OUT_FinalEnergyCons!H$4:H$10000)</f>
        <v>0</v>
      </c>
      <c r="K1837" s="1" cm="1">
        <f t="array" ref="K1837">SUMPRODUCT(([1]OUT_FinalEnergyCons!$B$4:$B$10000="var_cap")*1, (ISNUMBER(SEARCH("RH*-SHH2BR",[1]OUT_FinalEnergyCons!$A$4:$A$10000)))*1,[1]OUT_FinalEnergyCons!I$4:I$10000)</f>
        <v>0</v>
      </c>
    </row>
    <row r="1838" spans="2:11" x14ac:dyDescent="0.35">
      <c r="B1838" s="5" t="str">
        <f t="shared" si="1101"/>
        <v>SPS3</v>
      </c>
      <c r="C1838" s="5" t="str">
        <f t="shared" ref="C1838" si="1143">C1837</f>
        <v>CH</v>
      </c>
      <c r="D1838" t="s">
        <v>1880</v>
      </c>
      <c r="E1838" t="str">
        <f t="shared" si="1120"/>
        <v>GWth/yr.</v>
      </c>
      <c r="F1838" s="1">
        <f>SUM(F1839,F1842,F1844,F1847,F1849,F1851,F1853,F1855)</f>
        <v>1.8610103238691411</v>
      </c>
      <c r="G1838" s="1">
        <f t="shared" ref="G1838" si="1144">SUM(G1839,G1842,G1844,G1847,G1849,G1851,G1853,G1855)</f>
        <v>2.0193774864608054</v>
      </c>
      <c r="H1838" s="1">
        <f t="shared" ref="H1838" si="1145">SUM(H1839,H1842,H1844,H1847,H1849,H1851,H1853,H1855)</f>
        <v>1.9113142620890635</v>
      </c>
      <c r="I1838" s="1">
        <f t="shared" ref="I1838" si="1146">SUM(I1839,I1842,I1844,I1847,I1849,I1851,I1853,I1855)</f>
        <v>2.0829369442072787</v>
      </c>
      <c r="J1838" s="1">
        <f t="shared" ref="J1838" si="1147">SUM(J1839,J1842,J1844,J1847,J1849,J1851,J1853,J1855)</f>
        <v>2.1481257317197997</v>
      </c>
      <c r="K1838" s="1">
        <f t="shared" ref="K1838" si="1148">SUM(K1839,K1842,K1844,K1847,K1849,K1851,K1853,K1855)</f>
        <v>2.2920430723470586</v>
      </c>
    </row>
    <row r="1839" spans="2:11" x14ac:dyDescent="0.35">
      <c r="B1839" s="5" t="str">
        <f t="shared" si="1101"/>
        <v>SPS3</v>
      </c>
      <c r="C1839" s="5" t="str">
        <f t="shared" ref="C1839" si="1149">C1838</f>
        <v>CH</v>
      </c>
      <c r="D1839" t="s">
        <v>1881</v>
      </c>
      <c r="E1839" t="str">
        <f t="shared" si="1120"/>
        <v>GWth/yr.</v>
      </c>
      <c r="F1839" s="1">
        <f>SUM(F1840:F1841)</f>
        <v>0.65095221534699654</v>
      </c>
      <c r="G1839" s="1">
        <f t="shared" ref="G1839" si="1150">SUM(G1840:G1841)</f>
        <v>0.71881957313951239</v>
      </c>
      <c r="H1839" s="1">
        <f t="shared" ref="H1839" si="1151">SUM(H1840:H1841)</f>
        <v>0.67670744934130034</v>
      </c>
      <c r="I1839" s="1">
        <f t="shared" ref="I1839" si="1152">SUM(I1840:I1841)</f>
        <v>0.85264691241666635</v>
      </c>
      <c r="J1839" s="1">
        <f t="shared" ref="J1839" si="1153">SUM(J1840:J1841)</f>
        <v>1.1837351663121889</v>
      </c>
      <c r="K1839" s="1">
        <f t="shared" ref="K1839" si="1154">SUM(K1840:K1841)</f>
        <v>1.2690620269133046</v>
      </c>
    </row>
    <row r="1840" spans="2:11" x14ac:dyDescent="0.35">
      <c r="B1840" s="5" t="str">
        <f t="shared" si="1101"/>
        <v>SPS3</v>
      </c>
      <c r="C1840" s="5" t="str">
        <f t="shared" ref="C1840" si="1155">C1839</f>
        <v>CH</v>
      </c>
      <c r="D1840" t="s">
        <v>1882</v>
      </c>
      <c r="E1840" t="str">
        <f t="shared" si="1120"/>
        <v>GWth/yr.</v>
      </c>
      <c r="F1840" s="1" cm="1">
        <f t="array" ref="F1840">SUMPRODUCT(([1]OUT_FinalEnergyCons!$B$4:$B$10000="var_cap")*1,(ISNUMBER(SEARCH("RH*-WHELCBR",[1]OUT_FinalEnergyCons!$A$4:$A$10000)))*1,[1]OUT_FinalEnergyCons!D$4:D$10000)</f>
        <v>0.43759645659491092</v>
      </c>
      <c r="G1840" s="1" cm="1">
        <f t="array" ref="G1840">SUMPRODUCT(([1]OUT_FinalEnergyCons!$B$4:$B$10000="var_cap")*1,(ISNUMBER(SEARCH("RH*-WHELCBR",[1]OUT_FinalEnergyCons!$A$4:$A$10000)))*1,[1]OUT_FinalEnergyCons!E$4:E$10000)</f>
        <v>0.47267610439009849</v>
      </c>
      <c r="H1840" s="1" cm="1">
        <f t="array" ref="H1840">SUMPRODUCT(([1]OUT_FinalEnergyCons!$B$4:$B$10000="var_cap")*1,(ISNUMBER(SEARCH("RH*-WHELCBR",[1]OUT_FinalEnergyCons!$A$4:$A$10000)))*1,[1]OUT_FinalEnergyCons!F$4:F$10000)</f>
        <v>0.32869542280117936</v>
      </c>
      <c r="I1840" s="1" cm="1">
        <f t="array" ref="I1840">SUMPRODUCT(([1]OUT_FinalEnergyCons!$B$4:$B$10000="var_cap")*1,(ISNUMBER(SEARCH("RH*-WHELCBR",[1]OUT_FinalEnergyCons!$A$4:$A$10000)))*1,[1]OUT_FinalEnergyCons!G$4:G$10000)</f>
        <v>0.24038521560510961</v>
      </c>
      <c r="J1840" s="1" cm="1">
        <f t="array" ref="J1840">SUMPRODUCT(([1]OUT_FinalEnergyCons!$B$4:$B$10000="var_cap")*1,(ISNUMBER(SEARCH("RH*-WHELCBR",[1]OUT_FinalEnergyCons!$A$4:$A$10000)))*1,[1]OUT_FinalEnergyCons!H$4:H$10000)</f>
        <v>0.18307803256003188</v>
      </c>
      <c r="K1840" s="1" cm="1">
        <f t="array" ref="K1840">SUMPRODUCT(([1]OUT_FinalEnergyCons!$B$4:$B$10000="var_cap")*1,(ISNUMBER(SEARCH("RH*-WHELCBR",[1]OUT_FinalEnergyCons!$A$4:$A$10000)))*1,[1]OUT_FinalEnergyCons!I$4:I$10000)</f>
        <v>0.15011338357171605</v>
      </c>
    </row>
    <row r="1841" spans="2:11" x14ac:dyDescent="0.35">
      <c r="B1841" s="5" t="str">
        <f t="shared" si="1101"/>
        <v>SPS3</v>
      </c>
      <c r="C1841" s="5" t="str">
        <f t="shared" ref="C1841" si="1156">C1840</f>
        <v>CH</v>
      </c>
      <c r="D1841" t="s">
        <v>1883</v>
      </c>
      <c r="E1841" t="str">
        <f t="shared" si="1120"/>
        <v>GWth/yr.</v>
      </c>
      <c r="F1841" s="1" cm="1">
        <f t="array" ref="F1841">SUMPRODUCT(([1]OUT_FinalEnergyCons!$B$4:$B$10000="var_cap")*1,ISNUMBER(SEARCH("RH*-WHELCHP",[1]OUT_FinalEnergyCons!$A$4:$A$10000))*1,[1]OUT_FinalEnergyCons!D$4:D$10000)</f>
        <v>0.21335575875208562</v>
      </c>
      <c r="G1841" s="1" cm="1">
        <f t="array" ref="G1841">SUMPRODUCT(([1]OUT_FinalEnergyCons!$B$4:$B$10000="var_cap")*1,ISNUMBER(SEARCH("RH*-WHELCHP",[1]OUT_FinalEnergyCons!$A$4:$A$10000))*1,[1]OUT_FinalEnergyCons!E$4:E$10000)</f>
        <v>0.24614346874941384</v>
      </c>
      <c r="H1841" s="1" cm="1">
        <f t="array" ref="H1841">SUMPRODUCT(([1]OUT_FinalEnergyCons!$B$4:$B$10000="var_cap")*1,ISNUMBER(SEARCH("RH*-WHELCHP",[1]OUT_FinalEnergyCons!$A$4:$A$10000))*1,[1]OUT_FinalEnergyCons!F$4:F$10000)</f>
        <v>0.34801202654012103</v>
      </c>
      <c r="I1841" s="1" cm="1">
        <f t="array" ref="I1841">SUMPRODUCT(([1]OUT_FinalEnergyCons!$B$4:$B$10000="var_cap")*1,ISNUMBER(SEARCH("RH*-WHELCHP",[1]OUT_FinalEnergyCons!$A$4:$A$10000))*1,[1]OUT_FinalEnergyCons!G$4:G$10000)</f>
        <v>0.61226169681155673</v>
      </c>
      <c r="J1841" s="1" cm="1">
        <f t="array" ref="J1841">SUMPRODUCT(([1]OUT_FinalEnergyCons!$B$4:$B$10000="var_cap")*1,ISNUMBER(SEARCH("RH*-WHELCHP",[1]OUT_FinalEnergyCons!$A$4:$A$10000))*1,[1]OUT_FinalEnergyCons!H$4:H$10000)</f>
        <v>1.000657133752157</v>
      </c>
      <c r="K1841" s="1" cm="1">
        <f t="array" ref="K1841">SUMPRODUCT(([1]OUT_FinalEnergyCons!$B$4:$B$10000="var_cap")*1,ISNUMBER(SEARCH("RH*-WHELCHP",[1]OUT_FinalEnergyCons!$A$4:$A$10000))*1,[1]OUT_FinalEnergyCons!I$4:I$10000)</f>
        <v>1.1189486433415885</v>
      </c>
    </row>
    <row r="1842" spans="2:11" x14ac:dyDescent="0.35">
      <c r="B1842" s="5" t="str">
        <f t="shared" si="1101"/>
        <v>SPS3</v>
      </c>
      <c r="C1842" s="5" t="str">
        <f t="shared" ref="C1842" si="1157">C1841</f>
        <v>CH</v>
      </c>
      <c r="D1842" t="s">
        <v>1884</v>
      </c>
      <c r="E1842" t="str">
        <f t="shared" si="1120"/>
        <v>GWth/yr.</v>
      </c>
      <c r="F1842" s="1">
        <f>F1843</f>
        <v>0.47738433216181703</v>
      </c>
      <c r="G1842" s="1">
        <f t="shared" ref="G1842" si="1158">G1843</f>
        <v>0.47737734818342864</v>
      </c>
      <c r="H1842" s="1">
        <f t="shared" ref="H1842" si="1159">H1843</f>
        <v>0.32937772992580677</v>
      </c>
      <c r="I1842" s="1">
        <f t="shared" ref="I1842" si="1160">I1843</f>
        <v>0.23907091828844004</v>
      </c>
      <c r="J1842" s="1">
        <f t="shared" ref="J1842" si="1161">J1843</f>
        <v>2.8506293473839532E-2</v>
      </c>
      <c r="K1842" s="1">
        <f t="shared" ref="K1842" si="1162">K1843</f>
        <v>1.2919760781776989E-3</v>
      </c>
    </row>
    <row r="1843" spans="2:11" x14ac:dyDescent="0.35">
      <c r="B1843" s="5" t="str">
        <f t="shared" si="1101"/>
        <v>SPS3</v>
      </c>
      <c r="C1843" s="5" t="str">
        <f t="shared" ref="C1843" si="1163">C1842</f>
        <v>CH</v>
      </c>
      <c r="D1843" t="s">
        <v>1885</v>
      </c>
      <c r="E1843" t="str">
        <f t="shared" si="1120"/>
        <v>GWth/yr.</v>
      </c>
      <c r="F1843" s="1" cm="1">
        <f t="array" ref="F1843">SUMPRODUCT(([1]OUT_FinalEnergyCons!$B$4:$B$10000="var_cap")*1, (ISNUMBER(SEARCH("RH*-WHLFOBR",[1]OUT_FinalEnergyCons!$A$4:$A$10000)))*1,[1]OUT_FinalEnergyCons!D$4:D$10000)</f>
        <v>0.47738433216181703</v>
      </c>
      <c r="G1843" s="1" cm="1">
        <f t="array" ref="G1843">SUMPRODUCT(([1]OUT_FinalEnergyCons!$B$4:$B$10000="var_cap")*1, (ISNUMBER(SEARCH("RH*-WHLFOBR",[1]OUT_FinalEnergyCons!$A$4:$A$10000)))*1,[1]OUT_FinalEnergyCons!E$4:E$10000)</f>
        <v>0.47737734818342864</v>
      </c>
      <c r="H1843" s="1" cm="1">
        <f t="array" ref="H1843">SUMPRODUCT(([1]OUT_FinalEnergyCons!$B$4:$B$10000="var_cap")*1, (ISNUMBER(SEARCH("RH*-WHLFOBR",[1]OUT_FinalEnergyCons!$A$4:$A$10000)))*1,[1]OUT_FinalEnergyCons!F$4:F$10000)</f>
        <v>0.32937772992580677</v>
      </c>
      <c r="I1843" s="1" cm="1">
        <f t="array" ref="I1843">SUMPRODUCT(([1]OUT_FinalEnergyCons!$B$4:$B$10000="var_cap")*1, (ISNUMBER(SEARCH("RH*-WHLFOBR",[1]OUT_FinalEnergyCons!$A$4:$A$10000)))*1,[1]OUT_FinalEnergyCons!G$4:G$10000)</f>
        <v>0.23907091828844004</v>
      </c>
      <c r="J1843" s="1" cm="1">
        <f t="array" ref="J1843">SUMPRODUCT(([1]OUT_FinalEnergyCons!$B$4:$B$10000="var_cap")*1, (ISNUMBER(SEARCH("RH*-WHLFOBR",[1]OUT_FinalEnergyCons!$A$4:$A$10000)))*1,[1]OUT_FinalEnergyCons!H$4:H$10000)</f>
        <v>2.8506293473839532E-2</v>
      </c>
      <c r="K1843" s="1" cm="1">
        <f t="array" ref="K1843">SUMPRODUCT(([1]OUT_FinalEnergyCons!$B$4:$B$10000="var_cap")*1, (ISNUMBER(SEARCH("RH*-WHLFOBR",[1]OUT_FinalEnergyCons!$A$4:$A$10000)))*1,[1]OUT_FinalEnergyCons!I$4:I$10000)</f>
        <v>1.2919760781776989E-3</v>
      </c>
    </row>
    <row r="1844" spans="2:11" x14ac:dyDescent="0.35">
      <c r="B1844" s="5" t="str">
        <f t="shared" ref="B1844:B1907" si="1164">B1843</f>
        <v>SPS3</v>
      </c>
      <c r="C1844" s="5" t="str">
        <f t="shared" ref="C1844" si="1165">C1843</f>
        <v>CH</v>
      </c>
      <c r="D1844" t="s">
        <v>1886</v>
      </c>
      <c r="E1844" t="str">
        <f t="shared" si="1120"/>
        <v>GWth/yr.</v>
      </c>
      <c r="F1844" s="1">
        <f>SUM(F1845:F1846)</f>
        <v>0.43610075806793741</v>
      </c>
      <c r="G1844" s="1">
        <f t="shared" ref="G1844" si="1166">SUM(G1845:G1846)</f>
        <v>0.43514920877557972</v>
      </c>
      <c r="H1844" s="1">
        <f t="shared" ref="H1844" si="1167">SUM(H1845:H1846)</f>
        <v>0.49463870627364342</v>
      </c>
      <c r="I1844" s="1">
        <f t="shared" ref="I1844" si="1168">SUM(I1845:I1846)</f>
        <v>0.5064725265494161</v>
      </c>
      <c r="J1844" s="1">
        <f t="shared" ref="J1844" si="1169">SUM(J1845:J1846)</f>
        <v>0.30926285907240625</v>
      </c>
      <c r="K1844" s="1">
        <f t="shared" ref="K1844" si="1170">SUM(K1845:K1846)</f>
        <v>0.27473465656794693</v>
      </c>
    </row>
    <row r="1845" spans="2:11" x14ac:dyDescent="0.35">
      <c r="B1845" s="5" t="str">
        <f t="shared" si="1164"/>
        <v>SPS3</v>
      </c>
      <c r="C1845" s="5" t="str">
        <f t="shared" ref="C1845" si="1171">C1844</f>
        <v>CH</v>
      </c>
      <c r="D1845" t="s">
        <v>1887</v>
      </c>
      <c r="E1845" t="str">
        <f t="shared" si="1120"/>
        <v>GWth/yr.</v>
      </c>
      <c r="F1845" s="1" cm="1">
        <f t="array" ref="F1845">SUMPRODUCT(([1]OUT_FinalEnergyCons!$B$4:$B$10000="var_cap")*1, (ISNUMBER(SEARCH("RH*-WHNGABR",[1]OUT_FinalEnergyCons!$A$4:$A$10000)))*1,[1]OUT_FinalEnergyCons!D$4:D$10000)</f>
        <v>0.43610075802020798</v>
      </c>
      <c r="G1845" s="1" cm="1">
        <f t="array" ref="G1845">SUMPRODUCT(([1]OUT_FinalEnergyCons!$B$4:$B$10000="var_cap")*1, (ISNUMBER(SEARCH("RH*-WHNGABR",[1]OUT_FinalEnergyCons!$A$4:$A$10000)))*1,[1]OUT_FinalEnergyCons!E$4:E$10000)</f>
        <v>0.43514927131158226</v>
      </c>
      <c r="H1845" s="1" cm="1">
        <f t="array" ref="H1845">SUMPRODUCT(([1]OUT_FinalEnergyCons!$B$4:$B$10000="var_cap")*1, (ISNUMBER(SEARCH("RH*-WHNGABR",[1]OUT_FinalEnergyCons!$A$4:$A$10000)))*1,[1]OUT_FinalEnergyCons!F$4:F$10000)</f>
        <v>0.42895062796821415</v>
      </c>
      <c r="I1845" s="1" cm="1">
        <f t="array" ref="I1845">SUMPRODUCT(([1]OUT_FinalEnergyCons!$B$4:$B$10000="var_cap")*1, (ISNUMBER(SEARCH("RH*-WHNGABR",[1]OUT_FinalEnergyCons!$A$4:$A$10000)))*1,[1]OUT_FinalEnergyCons!G$4:G$10000)</f>
        <v>0.36399259920242744</v>
      </c>
      <c r="J1845" s="1" cm="1">
        <f t="array" ref="J1845">SUMPRODUCT(([1]OUT_FinalEnergyCons!$B$4:$B$10000="var_cap")*1, (ISNUMBER(SEARCH("RH*-WHNGABR",[1]OUT_FinalEnergyCons!$A$4:$A$10000)))*1,[1]OUT_FinalEnergyCons!H$4:H$10000)</f>
        <v>5.6885254651189959E-2</v>
      </c>
      <c r="K1845" s="1" cm="1">
        <f t="array" ref="K1845">SUMPRODUCT(([1]OUT_FinalEnergyCons!$B$4:$B$10000="var_cap")*1, (ISNUMBER(SEARCH("RH*-WHNGABR",[1]OUT_FinalEnergyCons!$A$4:$A$10000)))*1,[1]OUT_FinalEnergyCons!I$4:I$10000)</f>
        <v>3.2562864489940349E-2</v>
      </c>
    </row>
    <row r="1846" spans="2:11" x14ac:dyDescent="0.35">
      <c r="B1846" s="5" t="str">
        <f t="shared" si="1164"/>
        <v>SPS3</v>
      </c>
      <c r="C1846" s="5" t="str">
        <f t="shared" ref="C1846" si="1172">C1845</f>
        <v>CH</v>
      </c>
      <c r="D1846" t="s">
        <v>1888</v>
      </c>
      <c r="E1846" t="str">
        <f t="shared" si="1120"/>
        <v>GWth/yr.</v>
      </c>
      <c r="F1846" s="1" cm="1">
        <f t="array" ref="F1846">SUMPRODUCT(([1]OUT_FinalEnergyCons!$B$4:$B$10000="var_cap")*1,ISNUMBER(SEARCH("RH*-WHngahp",[1]OUT_FinalEnergyCons!$A$4:$A$10000))*1,[1]OUT_FinalEnergyCons!D$4:D$10000)</f>
        <v>4.7729432218241499E-11</v>
      </c>
      <c r="G1846" s="1" cm="1">
        <f t="array" ref="G1846">SUMPRODUCT(([1]OUT_FinalEnergyCons!$B$4:$B$10000="var_cap")*1,ISNUMBER(SEARCH("RH*-WHngahp",[1]OUT_FinalEnergyCons!$A$4:$A$10000))*1,[1]OUT_FinalEnergyCons!E$4:E$10000)</f>
        <v>-6.2536002530871632E-8</v>
      </c>
      <c r="H1846" s="1" cm="1">
        <f t="array" ref="H1846">SUMPRODUCT(([1]OUT_FinalEnergyCons!$B$4:$B$10000="var_cap")*1,ISNUMBER(SEARCH("RH*-WHngahp",[1]OUT_FinalEnergyCons!$A$4:$A$10000))*1,[1]OUT_FinalEnergyCons!F$4:F$10000)</f>
        <v>6.5688078305429276E-2</v>
      </c>
      <c r="I1846" s="1" cm="1">
        <f t="array" ref="I1846">SUMPRODUCT(([1]OUT_FinalEnergyCons!$B$4:$B$10000="var_cap")*1,ISNUMBER(SEARCH("RH*-WHngahp",[1]OUT_FinalEnergyCons!$A$4:$A$10000))*1,[1]OUT_FinalEnergyCons!G$4:G$10000)</f>
        <v>0.14247992734698867</v>
      </c>
      <c r="J1846" s="1" cm="1">
        <f t="array" ref="J1846">SUMPRODUCT(([1]OUT_FinalEnergyCons!$B$4:$B$10000="var_cap")*1,ISNUMBER(SEARCH("RH*-WHngahp",[1]OUT_FinalEnergyCons!$A$4:$A$10000))*1,[1]OUT_FinalEnergyCons!H$4:H$10000)</f>
        <v>0.25237760442121626</v>
      </c>
      <c r="K1846" s="1" cm="1">
        <f t="array" ref="K1846">SUMPRODUCT(([1]OUT_FinalEnergyCons!$B$4:$B$10000="var_cap")*1,ISNUMBER(SEARCH("RH*-WHngahp",[1]OUT_FinalEnergyCons!$A$4:$A$10000))*1,[1]OUT_FinalEnergyCons!I$4:I$10000)</f>
        <v>0.24217179207800657</v>
      </c>
    </row>
    <row r="1847" spans="2:11" x14ac:dyDescent="0.35">
      <c r="B1847" s="5" t="str">
        <f t="shared" si="1164"/>
        <v>SPS3</v>
      </c>
      <c r="C1847" s="5" t="str">
        <f t="shared" ref="C1847" si="1173">C1846</f>
        <v>CH</v>
      </c>
      <c r="D1847" t="s">
        <v>1889</v>
      </c>
      <c r="E1847" t="str">
        <f t="shared" si="1120"/>
        <v>GWth/yr.</v>
      </c>
      <c r="F1847" s="1">
        <f>F1848</f>
        <v>0</v>
      </c>
      <c r="G1847" s="1">
        <f t="shared" ref="G1847" si="1174">G1848</f>
        <v>0</v>
      </c>
      <c r="H1847" s="1">
        <f t="shared" ref="H1847" si="1175">H1848</f>
        <v>0</v>
      </c>
      <c r="I1847" s="1">
        <f t="shared" ref="I1847" si="1176">I1848</f>
        <v>0</v>
      </c>
      <c r="J1847" s="1">
        <f t="shared" ref="J1847" si="1177">J1848</f>
        <v>0</v>
      </c>
      <c r="K1847" s="1">
        <f t="shared" ref="K1847" si="1178">K1848</f>
        <v>0</v>
      </c>
    </row>
    <row r="1848" spans="2:11" x14ac:dyDescent="0.35">
      <c r="B1848" s="5" t="str">
        <f t="shared" si="1164"/>
        <v>SPS3</v>
      </c>
      <c r="C1848" s="5" t="str">
        <f t="shared" ref="C1848" si="1179">C1847</f>
        <v>CH</v>
      </c>
      <c r="D1848" t="s">
        <v>1890</v>
      </c>
      <c r="E1848" t="str">
        <f t="shared" si="1120"/>
        <v>GWth/yr.</v>
      </c>
      <c r="F1848" s="1" cm="1">
        <f t="array" ref="F1848">SUMPRODUCT(([1]OUT_FinalEnergyCons!$B$4:$B$10000="var_cap")*1, (ISNUMBER(SEARCH("RH*-WHCOABR",[1]OUT_FinalEnergyCons!$A$4:$A$10000)))*1,[1]OUT_FinalEnergyCons!D$4:D$10000)</f>
        <v>0</v>
      </c>
      <c r="G1848" s="1" cm="1">
        <f t="array" ref="G1848">SUMPRODUCT(([1]OUT_FinalEnergyCons!$B$4:$B$10000="var_cap")*1, (ISNUMBER(SEARCH("RH*-WHCOABR",[1]OUT_FinalEnergyCons!$A$4:$A$10000)))*1,[1]OUT_FinalEnergyCons!E$4:E$10000)</f>
        <v>0</v>
      </c>
      <c r="H1848" s="1" cm="1">
        <f t="array" ref="H1848">SUMPRODUCT(([1]OUT_FinalEnergyCons!$B$4:$B$10000="var_cap")*1, (ISNUMBER(SEARCH("RH*-WHCOABR",[1]OUT_FinalEnergyCons!$A$4:$A$10000)))*1,[1]OUT_FinalEnergyCons!F$4:F$10000)</f>
        <v>0</v>
      </c>
      <c r="I1848" s="1" cm="1">
        <f t="array" ref="I1848">SUMPRODUCT(([1]OUT_FinalEnergyCons!$B$4:$B$10000="var_cap")*1, (ISNUMBER(SEARCH("RH*-WHCOABR",[1]OUT_FinalEnergyCons!$A$4:$A$10000)))*1,[1]OUT_FinalEnergyCons!G$4:G$10000)</f>
        <v>0</v>
      </c>
      <c r="J1848" s="1" cm="1">
        <f t="array" ref="J1848">SUMPRODUCT(([1]OUT_FinalEnergyCons!$B$4:$B$10000="var_cap")*1, (ISNUMBER(SEARCH("RH*-WHCOABR",[1]OUT_FinalEnergyCons!$A$4:$A$10000)))*1,[1]OUT_FinalEnergyCons!H$4:H$10000)</f>
        <v>0</v>
      </c>
      <c r="K1848" s="1" cm="1">
        <f t="array" ref="K1848">SUMPRODUCT(([1]OUT_FinalEnergyCons!$B$4:$B$10000="var_cap")*1, (ISNUMBER(SEARCH("RH*-WHCOABR",[1]OUT_FinalEnergyCons!$A$4:$A$10000)))*1,[1]OUT_FinalEnergyCons!I$4:I$10000)</f>
        <v>0</v>
      </c>
    </row>
    <row r="1849" spans="2:11" x14ac:dyDescent="0.35">
      <c r="B1849" s="5" t="str">
        <f t="shared" si="1164"/>
        <v>SPS3</v>
      </c>
      <c r="C1849" s="5" t="str">
        <f t="shared" ref="C1849" si="1180">C1848</f>
        <v>CH</v>
      </c>
      <c r="D1849" t="s">
        <v>1891</v>
      </c>
      <c r="E1849" t="str">
        <f t="shared" si="1120"/>
        <v>GWth/yr.</v>
      </c>
      <c r="F1849" s="1">
        <f>F1850</f>
        <v>3.5322010722483803E-2</v>
      </c>
      <c r="G1849" s="1">
        <f t="shared" ref="G1849" si="1181">G1850</f>
        <v>4.0699607457275397E-2</v>
      </c>
      <c r="H1849" s="1">
        <f t="shared" ref="H1849" si="1182">H1850</f>
        <v>7.2607636446419127E-2</v>
      </c>
      <c r="I1849" s="1">
        <f t="shared" ref="I1849" si="1183">I1850</f>
        <v>7.2600511461426737E-2</v>
      </c>
      <c r="J1849" s="1">
        <f t="shared" ref="J1849" si="1184">J1850</f>
        <v>4.7324068932789141E-2</v>
      </c>
      <c r="K1849" s="1">
        <f t="shared" ref="K1849" si="1185">K1850</f>
        <v>2.6784682296766442E-2</v>
      </c>
    </row>
    <row r="1850" spans="2:11" x14ac:dyDescent="0.35">
      <c r="B1850" s="5" t="str">
        <f t="shared" si="1164"/>
        <v>SPS3</v>
      </c>
      <c r="C1850" s="5" t="str">
        <f t="shared" ref="C1850" si="1186">C1849</f>
        <v>CH</v>
      </c>
      <c r="D1850" t="s">
        <v>1892</v>
      </c>
      <c r="E1850" t="str">
        <f t="shared" si="1120"/>
        <v>GWth/yr.</v>
      </c>
      <c r="F1850" s="1" cm="1">
        <f t="array" ref="F1850">SUMPRODUCT(([1]OUT_FinalEnergyCons!$B$4:$B$10000="var_cap")*1, (ISNUMBER(SEARCH("RH*-WHWODBR",[1]OUT_FinalEnergyCons!$A$4:$A$10000)))*1,[1]OUT_FinalEnergyCons!D$4:D$10000)</f>
        <v>3.5322010722483803E-2</v>
      </c>
      <c r="G1850" s="1" cm="1">
        <f t="array" ref="G1850">SUMPRODUCT(([1]OUT_FinalEnergyCons!$B$4:$B$10000="var_cap")*1, (ISNUMBER(SEARCH("RH*-WHWODBR",[1]OUT_FinalEnergyCons!$A$4:$A$10000)))*1,[1]OUT_FinalEnergyCons!E$4:E$10000)</f>
        <v>4.0699607457275397E-2</v>
      </c>
      <c r="H1850" s="1" cm="1">
        <f t="array" ref="H1850">SUMPRODUCT(([1]OUT_FinalEnergyCons!$B$4:$B$10000="var_cap")*1, (ISNUMBER(SEARCH("RH*-WHWODBR",[1]OUT_FinalEnergyCons!$A$4:$A$10000)))*1,[1]OUT_FinalEnergyCons!F$4:F$10000)</f>
        <v>7.2607636446419127E-2</v>
      </c>
      <c r="I1850" s="1" cm="1">
        <f t="array" ref="I1850">SUMPRODUCT(([1]OUT_FinalEnergyCons!$B$4:$B$10000="var_cap")*1, (ISNUMBER(SEARCH("RH*-WHWODBR",[1]OUT_FinalEnergyCons!$A$4:$A$10000)))*1,[1]OUT_FinalEnergyCons!G$4:G$10000)</f>
        <v>7.2600511461426737E-2</v>
      </c>
      <c r="J1850" s="1" cm="1">
        <f t="array" ref="J1850">SUMPRODUCT(([1]OUT_FinalEnergyCons!$B$4:$B$10000="var_cap")*1, (ISNUMBER(SEARCH("RH*-WHWODBR",[1]OUT_FinalEnergyCons!$A$4:$A$10000)))*1,[1]OUT_FinalEnergyCons!H$4:H$10000)</f>
        <v>4.7324068932789141E-2</v>
      </c>
      <c r="K1850" s="1" cm="1">
        <f t="array" ref="K1850">SUMPRODUCT(([1]OUT_FinalEnergyCons!$B$4:$B$10000="var_cap")*1, (ISNUMBER(SEARCH("RH*-WHWODBR",[1]OUT_FinalEnergyCons!$A$4:$A$10000)))*1,[1]OUT_FinalEnergyCons!I$4:I$10000)</f>
        <v>2.6784682296766442E-2</v>
      </c>
    </row>
    <row r="1851" spans="2:11" x14ac:dyDescent="0.35">
      <c r="B1851" s="5" t="str">
        <f t="shared" si="1164"/>
        <v>SPS3</v>
      </c>
      <c r="C1851" s="5" t="str">
        <f t="shared" ref="C1851" si="1187">C1850</f>
        <v>CH</v>
      </c>
      <c r="D1851" t="s">
        <v>1893</v>
      </c>
      <c r="E1851" t="str">
        <f t="shared" si="1120"/>
        <v>GWth/yr.</v>
      </c>
      <c r="F1851" s="1">
        <f>F1852</f>
        <v>1.12410901121583E-2</v>
      </c>
      <c r="G1851" s="1">
        <f t="shared" ref="G1851" si="1188">G1852</f>
        <v>1.3199310245294258E-2</v>
      </c>
      <c r="H1851" s="1">
        <f t="shared" ref="H1851" si="1189">H1852</f>
        <v>3.8496527971454211E-3</v>
      </c>
      <c r="I1851" s="1">
        <f t="shared" ref="I1851" si="1190">I1852</f>
        <v>3.3973511215428E-3</v>
      </c>
      <c r="J1851" s="1">
        <f t="shared" ref="J1851" si="1191">J1852</f>
        <v>1.5783636966346423E-3</v>
      </c>
      <c r="K1851" s="1">
        <f t="shared" ref="K1851" si="1192">K1852</f>
        <v>8.5059591659203296E-4</v>
      </c>
    </row>
    <row r="1852" spans="2:11" x14ac:dyDescent="0.35">
      <c r="B1852" s="5" t="str">
        <f t="shared" si="1164"/>
        <v>SPS3</v>
      </c>
      <c r="C1852" s="5" t="str">
        <f t="shared" ref="C1852" si="1193">C1851</f>
        <v>CH</v>
      </c>
      <c r="D1852" t="s">
        <v>1894</v>
      </c>
      <c r="E1852" t="str">
        <f t="shared" si="1120"/>
        <v>GWth/yr.</v>
      </c>
      <c r="F1852" s="1" cm="1">
        <f t="array" ref="F1852">SUMPRODUCT(([1]OUT_FinalEnergyCons!$B$4:$B$10000="var_cap")*1, (ISNUMBER(SEARCH("RH*-WHPLTBR",[1]OUT_FinalEnergyCons!$A$4:$A$10000)))*1,[1]OUT_FinalEnergyCons!D$4:D$10000)</f>
        <v>1.12410901121583E-2</v>
      </c>
      <c r="G1852" s="1" cm="1">
        <f t="array" ref="G1852">SUMPRODUCT(([1]OUT_FinalEnergyCons!$B$4:$B$10000="var_cap")*1, (ISNUMBER(SEARCH("RH*-WHPLTBR",[1]OUT_FinalEnergyCons!$A$4:$A$10000)))*1,[1]OUT_FinalEnergyCons!E$4:E$10000)</f>
        <v>1.3199310245294258E-2</v>
      </c>
      <c r="H1852" s="1" cm="1">
        <f t="array" ref="H1852">SUMPRODUCT(([1]OUT_FinalEnergyCons!$B$4:$B$10000="var_cap")*1, (ISNUMBER(SEARCH("RH*-WHPLTBR",[1]OUT_FinalEnergyCons!$A$4:$A$10000)))*1,[1]OUT_FinalEnergyCons!F$4:F$10000)</f>
        <v>3.8496527971454211E-3</v>
      </c>
      <c r="I1852" s="1" cm="1">
        <f t="array" ref="I1852">SUMPRODUCT(([1]OUT_FinalEnergyCons!$B$4:$B$10000="var_cap")*1, (ISNUMBER(SEARCH("RH*-WHPLTBR",[1]OUT_FinalEnergyCons!$A$4:$A$10000)))*1,[1]OUT_FinalEnergyCons!G$4:G$10000)</f>
        <v>3.3973511215428E-3</v>
      </c>
      <c r="J1852" s="1" cm="1">
        <f t="array" ref="J1852">SUMPRODUCT(([1]OUT_FinalEnergyCons!$B$4:$B$10000="var_cap")*1, (ISNUMBER(SEARCH("RH*-WHPLTBR",[1]OUT_FinalEnergyCons!$A$4:$A$10000)))*1,[1]OUT_FinalEnergyCons!H$4:H$10000)</f>
        <v>1.5783636966346423E-3</v>
      </c>
      <c r="K1852" s="1" cm="1">
        <f t="array" ref="K1852">SUMPRODUCT(([1]OUT_FinalEnergyCons!$B$4:$B$10000="var_cap")*1, (ISNUMBER(SEARCH("RH*-WHPLTBR",[1]OUT_FinalEnergyCons!$A$4:$A$10000)))*1,[1]OUT_FinalEnergyCons!I$4:I$10000)</f>
        <v>8.5059591659203296E-4</v>
      </c>
    </row>
    <row r="1853" spans="2:11" x14ac:dyDescent="0.35">
      <c r="B1853" s="5" t="str">
        <f t="shared" si="1164"/>
        <v>SPS3</v>
      </c>
      <c r="C1853" s="5" t="str">
        <f t="shared" ref="C1853" si="1194">C1852</f>
        <v>CH</v>
      </c>
      <c r="D1853" t="s">
        <v>1895</v>
      </c>
      <c r="E1853" t="str">
        <f t="shared" si="1120"/>
        <v>GWth/yr.</v>
      </c>
      <c r="F1853" s="1">
        <f>F1854</f>
        <v>0.25000991745774798</v>
      </c>
      <c r="G1853" s="1">
        <f t="shared" ref="G1853" si="1195">G1854</f>
        <v>0.33413243865971481</v>
      </c>
      <c r="H1853" s="1">
        <f t="shared" ref="H1853" si="1196">H1854</f>
        <v>0.33413308730474833</v>
      </c>
      <c r="I1853" s="1">
        <f t="shared" ref="I1853" si="1197">I1854</f>
        <v>0.40874872436978654</v>
      </c>
      <c r="J1853" s="1">
        <f t="shared" ref="J1853" si="1198">J1854</f>
        <v>0.57771898023194135</v>
      </c>
      <c r="K1853" s="1">
        <f t="shared" ref="K1853" si="1199">K1854</f>
        <v>0.71931913457427099</v>
      </c>
    </row>
    <row r="1854" spans="2:11" x14ac:dyDescent="0.35">
      <c r="B1854" s="5" t="str">
        <f t="shared" si="1164"/>
        <v>SPS3</v>
      </c>
      <c r="C1854" s="5" t="str">
        <f t="shared" ref="C1854" si="1200">C1853</f>
        <v>CH</v>
      </c>
      <c r="D1854" t="s">
        <v>1896</v>
      </c>
      <c r="E1854" t="str">
        <f t="shared" si="1120"/>
        <v>GWth/yr.</v>
      </c>
      <c r="F1854" s="1" cm="1">
        <f t="array" ref="F1854">SUMPRODUCT(([1]OUT_FinalEnergyCons!$B$4:$B$10000="var_cap")*1, (ISNUMBER(SEARCH("RH*-WHSOLBR",[1]OUT_FinalEnergyCons!$A$4:$A$10000)))*1,[1]OUT_FinalEnergyCons!D$4:D$10000)</f>
        <v>0.25000991745774798</v>
      </c>
      <c r="G1854" s="1" cm="1">
        <f t="array" ref="G1854">SUMPRODUCT(([1]OUT_FinalEnergyCons!$B$4:$B$10000="var_cap")*1, (ISNUMBER(SEARCH("RH*-WHSOLBR",[1]OUT_FinalEnergyCons!$A$4:$A$10000)))*1,[1]OUT_FinalEnergyCons!E$4:E$10000)</f>
        <v>0.33413243865971481</v>
      </c>
      <c r="H1854" s="1" cm="1">
        <f t="array" ref="H1854">SUMPRODUCT(([1]OUT_FinalEnergyCons!$B$4:$B$10000="var_cap")*1, (ISNUMBER(SEARCH("RH*-WHSOLBR",[1]OUT_FinalEnergyCons!$A$4:$A$10000)))*1,[1]OUT_FinalEnergyCons!F$4:F$10000)</f>
        <v>0.33413308730474833</v>
      </c>
      <c r="I1854" s="1" cm="1">
        <f t="array" ref="I1854">SUMPRODUCT(([1]OUT_FinalEnergyCons!$B$4:$B$10000="var_cap")*1, (ISNUMBER(SEARCH("RH*-WHSOLBR",[1]OUT_FinalEnergyCons!$A$4:$A$10000)))*1,[1]OUT_FinalEnergyCons!G$4:G$10000)</f>
        <v>0.40874872436978654</v>
      </c>
      <c r="J1854" s="1" cm="1">
        <f t="array" ref="J1854">SUMPRODUCT(([1]OUT_FinalEnergyCons!$B$4:$B$10000="var_cap")*1, (ISNUMBER(SEARCH("RH*-WHSOLBR",[1]OUT_FinalEnergyCons!$A$4:$A$10000)))*1,[1]OUT_FinalEnergyCons!H$4:H$10000)</f>
        <v>0.57771898023194135</v>
      </c>
      <c r="K1854" s="1" cm="1">
        <f t="array" ref="K1854">SUMPRODUCT(([1]OUT_FinalEnergyCons!$B$4:$B$10000="var_cap")*1, (ISNUMBER(SEARCH("RH*-WHSOLBR",[1]OUT_FinalEnergyCons!$A$4:$A$10000)))*1,[1]OUT_FinalEnergyCons!I$4:I$10000)</f>
        <v>0.71931913457427099</v>
      </c>
    </row>
    <row r="1855" spans="2:11" x14ac:dyDescent="0.35">
      <c r="B1855" s="5" t="str">
        <f t="shared" si="1164"/>
        <v>SPS3</v>
      </c>
      <c r="C1855" s="5" t="str">
        <f t="shared" ref="C1855" si="1201">C1854</f>
        <v>CH</v>
      </c>
      <c r="D1855" t="s">
        <v>1897</v>
      </c>
      <c r="E1855" t="str">
        <f t="shared" si="1120"/>
        <v>GWth/yr.</v>
      </c>
      <c r="F1855" s="1">
        <f>F1856</f>
        <v>0</v>
      </c>
      <c r="G1855" s="1">
        <f t="shared" ref="G1855" si="1202">G1856</f>
        <v>0</v>
      </c>
      <c r="H1855" s="1">
        <f t="shared" ref="H1855" si="1203">H1856</f>
        <v>0</v>
      </c>
      <c r="I1855" s="1">
        <f t="shared" ref="I1855" si="1204">I1856</f>
        <v>0</v>
      </c>
      <c r="J1855" s="1">
        <f t="shared" ref="J1855" si="1205">J1856</f>
        <v>0</v>
      </c>
      <c r="K1855" s="1">
        <f t="shared" ref="K1855" si="1206">K1856</f>
        <v>0</v>
      </c>
    </row>
    <row r="1856" spans="2:11" x14ac:dyDescent="0.35">
      <c r="B1856" s="5" t="str">
        <f t="shared" si="1164"/>
        <v>SPS3</v>
      </c>
      <c r="C1856" s="5" t="str">
        <f t="shared" ref="C1856:C1860" si="1207">C1855</f>
        <v>CH</v>
      </c>
      <c r="D1856" t="s">
        <v>1898</v>
      </c>
      <c r="E1856" t="str">
        <f t="shared" si="1120"/>
        <v>GWth/yr.</v>
      </c>
      <c r="F1856" s="1" cm="1">
        <f t="array" ref="F1856">SUMPRODUCT(([1]OUT_FinalEnergyCons!$B$4:$B$10000="var_cap")*1, (ISNUMBER(SEARCH("RH*-WHH2BR",[1]OUT_FinalEnergyCons!$A$4:$A$10000)))*1,[1]OUT_FinalEnergyCons!D$4:D$10000)</f>
        <v>0</v>
      </c>
      <c r="G1856" s="1" cm="1">
        <f t="array" ref="G1856">SUMPRODUCT(([1]OUT_FinalEnergyCons!$B$4:$B$10000="var_cap")*1, (ISNUMBER(SEARCH("RH*-WHH2BR",[1]OUT_FinalEnergyCons!$A$4:$A$10000)))*1,[1]OUT_FinalEnergyCons!E$4:E$10000)</f>
        <v>0</v>
      </c>
      <c r="H1856" s="1" cm="1">
        <f t="array" ref="H1856">SUMPRODUCT(([1]OUT_FinalEnergyCons!$B$4:$B$10000="var_cap")*1, (ISNUMBER(SEARCH("RH*-WHH2BR",[1]OUT_FinalEnergyCons!$A$4:$A$10000)))*1,[1]OUT_FinalEnergyCons!F$4:F$10000)</f>
        <v>0</v>
      </c>
      <c r="I1856" s="1" cm="1">
        <f t="array" ref="I1856">SUMPRODUCT(([1]OUT_FinalEnergyCons!$B$4:$B$10000="var_cap")*1, (ISNUMBER(SEARCH("RH*-WHH2BR",[1]OUT_FinalEnergyCons!$A$4:$A$10000)))*1,[1]OUT_FinalEnergyCons!G$4:G$10000)</f>
        <v>0</v>
      </c>
      <c r="J1856" s="1" cm="1">
        <f t="array" ref="J1856">SUMPRODUCT(([1]OUT_FinalEnergyCons!$B$4:$B$10000="var_cap")*1, (ISNUMBER(SEARCH("RH*-WHH2BR",[1]OUT_FinalEnergyCons!$A$4:$A$10000)))*1,[1]OUT_FinalEnergyCons!H$4:H$10000)</f>
        <v>0</v>
      </c>
      <c r="K1856" s="1" cm="1">
        <f t="array" ref="K1856">SUMPRODUCT(([1]OUT_FinalEnergyCons!$B$4:$B$10000="var_cap")*1, (ISNUMBER(SEARCH("RH*-WHH2BR",[1]OUT_FinalEnergyCons!$A$4:$A$10000)))*1,[1]OUT_FinalEnergyCons!I$4:I$10000)</f>
        <v>0</v>
      </c>
    </row>
    <row r="1857" spans="2:11" x14ac:dyDescent="0.35">
      <c r="B1857" s="9" t="str">
        <f t="shared" si="1164"/>
        <v>SPS3</v>
      </c>
      <c r="C1857" s="9" t="str">
        <f t="shared" si="1207"/>
        <v>CH</v>
      </c>
      <c r="D1857" s="2" t="s">
        <v>1900</v>
      </c>
      <c r="E1857" s="9" t="str">
        <f t="shared" si="1120"/>
        <v>GWth/yr.</v>
      </c>
      <c r="F1857" s="17">
        <f>SUM(F1858,F1861,F1864,F1868,F1870,F1872,F1874,F1876,F1878)</f>
        <v>3.602505511747907</v>
      </c>
      <c r="G1857" s="17">
        <f t="shared" ref="G1857:K1857" si="1208">SUM(G1858,G1861,G1864,G1868,G1870,G1872,G1874,G1876,G1878)</f>
        <v>3.7905685736016737</v>
      </c>
      <c r="H1857" s="17">
        <f t="shared" si="1208"/>
        <v>3.7371383685355966</v>
      </c>
      <c r="I1857" s="17">
        <f t="shared" si="1208"/>
        <v>3.6249129143951948</v>
      </c>
      <c r="J1857" s="17">
        <f t="shared" si="1208"/>
        <v>3.365394034926124</v>
      </c>
      <c r="K1857" s="17">
        <f t="shared" si="1208"/>
        <v>2.8374125793360023</v>
      </c>
    </row>
    <row r="1858" spans="2:11" x14ac:dyDescent="0.35">
      <c r="B1858" s="5" t="str">
        <f t="shared" si="1164"/>
        <v>SPS3</v>
      </c>
      <c r="C1858" s="5" t="str">
        <f t="shared" si="1207"/>
        <v>CH</v>
      </c>
      <c r="D1858" t="s">
        <v>2094</v>
      </c>
      <c r="E1858" t="str">
        <f t="shared" si="1120"/>
        <v>GWth/yr.</v>
      </c>
      <c r="F1858" s="18">
        <f>SUM(F1859:F1860)</f>
        <v>0.61671309762324311</v>
      </c>
      <c r="G1858" s="18">
        <f t="shared" ref="G1858:K1858" si="1209">SUM(G1859:G1860)</f>
        <v>0.78014108032127494</v>
      </c>
      <c r="H1858" s="18">
        <f t="shared" si="1209"/>
        <v>0.79765377932089998</v>
      </c>
      <c r="I1858" s="18">
        <f t="shared" si="1209"/>
        <v>0.90343134499835054</v>
      </c>
      <c r="J1858" s="18">
        <f t="shared" si="1209"/>
        <v>1.4862864738558188</v>
      </c>
      <c r="K1858" s="18">
        <f t="shared" si="1209"/>
        <v>1.5260512153761963</v>
      </c>
    </row>
    <row r="1859" spans="2:11" x14ac:dyDescent="0.35">
      <c r="B1859" s="5" t="str">
        <f t="shared" si="1164"/>
        <v>SPS3</v>
      </c>
      <c r="C1859" s="5" t="str">
        <f t="shared" si="1207"/>
        <v>CH</v>
      </c>
      <c r="D1859" t="s">
        <v>2095</v>
      </c>
      <c r="E1859" t="str">
        <f t="shared" si="1120"/>
        <v>GWth/yr.</v>
      </c>
      <c r="F1859" s="1" cm="1">
        <f t="array" ref="F1859">SUMPRODUCT(([1]OUT_FinalEnergyCons!$B$4:$B$10000="Var_cap")*1,  (ISNUMBER(SEARCH("ITOT-SWHELCBR",[1]OUT_FinalEnergyCons!$A$4:$A$10000)))*1,[1]OUT_FinalEnergyCons!D$4:D$10000)</f>
        <v>0.55644997413134401</v>
      </c>
      <c r="G1859" s="1" cm="1">
        <f t="array" ref="G1859">SUMPRODUCT(([1]OUT_FinalEnergyCons!$B$4:$B$10000="Var_cap")*1,  (ISNUMBER(SEARCH("ITOT-SWHELCBR",[1]OUT_FinalEnergyCons!$A$4:$A$10000)))*1,[1]OUT_FinalEnergyCons!E$4:E$10000)</f>
        <v>0.70360685891160168</v>
      </c>
      <c r="H1859" s="1" cm="1">
        <f t="array" ref="H1859">SUMPRODUCT(([1]OUT_FinalEnergyCons!$B$4:$B$10000="Var_cap")*1,  (ISNUMBER(SEARCH("ITOT-SWHELCBR",[1]OUT_FinalEnergyCons!$A$4:$A$10000)))*1,[1]OUT_FinalEnergyCons!F$4:F$10000)</f>
        <v>0.70379182411739272</v>
      </c>
      <c r="I1859" s="1" cm="1">
        <f t="array" ref="I1859">SUMPRODUCT(([1]OUT_FinalEnergyCons!$B$4:$B$10000="Var_cap")*1,  (ISNUMBER(SEARCH("ITOT-SWHELCBR",[1]OUT_FinalEnergyCons!$A$4:$A$10000)))*1,[1]OUT_FinalEnergyCons!G$4:G$10000)</f>
        <v>0.70835111529438188</v>
      </c>
      <c r="J1859" s="1" cm="1">
        <f t="array" ref="J1859">SUMPRODUCT(([1]OUT_FinalEnergyCons!$B$4:$B$10000="Var_cap")*1,  (ISNUMBER(SEARCH("ITOT-SWHELCBR",[1]OUT_FinalEnergyCons!$A$4:$A$10000)))*1,[1]OUT_FinalEnergyCons!H$4:H$10000)</f>
        <v>1.0459523108418951</v>
      </c>
      <c r="K1859" s="1" cm="1">
        <f t="array" ref="K1859">SUMPRODUCT(([1]OUT_FinalEnergyCons!$B$4:$B$10000="Var_cap")*1,  (ISNUMBER(SEARCH("ITOT-SWHELCBR",[1]OUT_FinalEnergyCons!$A$4:$A$10000)))*1,[1]OUT_FinalEnergyCons!I$4:I$10000)</f>
        <v>1.0825660821089274</v>
      </c>
    </row>
    <row r="1860" spans="2:11" x14ac:dyDescent="0.35">
      <c r="B1860" s="5" t="str">
        <f t="shared" si="1164"/>
        <v>SPS3</v>
      </c>
      <c r="C1860" s="5" t="str">
        <f t="shared" si="1207"/>
        <v>CH</v>
      </c>
      <c r="D1860" t="s">
        <v>2096</v>
      </c>
      <c r="E1860" t="str">
        <f t="shared" si="1120"/>
        <v>GWth/yr.</v>
      </c>
      <c r="F1860" s="1" cm="1">
        <f t="array" ref="F1860">SUMPRODUCT(([1]OUT_FinalEnergyCons!$B$4:$B$10000="Var_cap")*1,  (ISNUMBER(SEARCH("ITOT-SWHELCHP",[1]OUT_FinalEnergyCons!$A$4:$A$10000)))*1,[1]OUT_FinalEnergyCons!D$4:D$10000)</f>
        <v>6.02631234918991E-2</v>
      </c>
      <c r="G1860" s="1" cm="1">
        <f t="array" ref="G1860">SUMPRODUCT(([1]OUT_FinalEnergyCons!$B$4:$B$10000="Var_cap")*1,  (ISNUMBER(SEARCH("ITOT-SWHELCHP",[1]OUT_FinalEnergyCons!$A$4:$A$10000)))*1,[1]OUT_FinalEnergyCons!E$4:E$10000)</f>
        <v>7.6534221409673212E-2</v>
      </c>
      <c r="H1860" s="1" cm="1">
        <f t="array" ref="H1860">SUMPRODUCT(([1]OUT_FinalEnergyCons!$B$4:$B$10000="Var_cap")*1,  (ISNUMBER(SEARCH("ITOT-SWHELCHP",[1]OUT_FinalEnergyCons!$A$4:$A$10000)))*1,[1]OUT_FinalEnergyCons!F$4:F$10000)</f>
        <v>9.3861955203507305E-2</v>
      </c>
      <c r="I1860" s="1" cm="1">
        <f t="array" ref="I1860">SUMPRODUCT(([1]OUT_FinalEnergyCons!$B$4:$B$10000="Var_cap")*1,  (ISNUMBER(SEARCH("ITOT-SWHELCHP",[1]OUT_FinalEnergyCons!$A$4:$A$10000)))*1,[1]OUT_FinalEnergyCons!G$4:G$10000)</f>
        <v>0.19508022970396868</v>
      </c>
      <c r="J1860" s="1" cm="1">
        <f t="array" ref="J1860">SUMPRODUCT(([1]OUT_FinalEnergyCons!$B$4:$B$10000="Var_cap")*1,  (ISNUMBER(SEARCH("ITOT-SWHELCHP",[1]OUT_FinalEnergyCons!$A$4:$A$10000)))*1,[1]OUT_FinalEnergyCons!H$4:H$10000)</f>
        <v>0.44033416301392375</v>
      </c>
      <c r="K1860" s="1" cm="1">
        <f t="array" ref="K1860">SUMPRODUCT(([1]OUT_FinalEnergyCons!$B$4:$B$10000="Var_cap")*1,  (ISNUMBER(SEARCH("ITOT-SWHELCHP",[1]OUT_FinalEnergyCons!$A$4:$A$10000)))*1,[1]OUT_FinalEnergyCons!I$4:I$10000)</f>
        <v>0.44348513326726879</v>
      </c>
    </row>
    <row r="1861" spans="2:11" x14ac:dyDescent="0.35">
      <c r="B1861" s="5" t="str">
        <f t="shared" si="1164"/>
        <v>SPS3</v>
      </c>
      <c r="C1861" s="5" t="str">
        <f>C1860</f>
        <v>CH</v>
      </c>
      <c r="D1861" t="s">
        <v>2097</v>
      </c>
      <c r="E1861" t="str">
        <f t="shared" si="1120"/>
        <v>GWth/yr.</v>
      </c>
      <c r="F1861" s="18">
        <f>SUM(F1862:F1863)</f>
        <v>0.47942620579853745</v>
      </c>
      <c r="G1861" s="18">
        <f t="shared" ref="G1861:K1861" si="1210">SUM(G1862:G1863)</f>
        <v>0.48533618976689341</v>
      </c>
      <c r="H1861" s="18">
        <f t="shared" si="1210"/>
        <v>0.38265088261610974</v>
      </c>
      <c r="I1861" s="18">
        <f t="shared" si="1210"/>
        <v>0.33697774830154836</v>
      </c>
      <c r="J1861" s="18">
        <f t="shared" si="1210"/>
        <v>0.19237396799331419</v>
      </c>
      <c r="K1861" s="18">
        <f t="shared" si="1210"/>
        <v>1.2897891500096082E-2</v>
      </c>
    </row>
    <row r="1862" spans="2:11" x14ac:dyDescent="0.35">
      <c r="B1862" s="5" t="str">
        <f t="shared" si="1164"/>
        <v>SPS3</v>
      </c>
      <c r="C1862" s="5" t="str">
        <f t="shared" ref="C1862:C1879" si="1211">C1861</f>
        <v>CH</v>
      </c>
      <c r="D1862" t="s">
        <v>2098</v>
      </c>
      <c r="E1862" t="str">
        <f t="shared" si="1120"/>
        <v>GWth/yr.</v>
      </c>
      <c r="F1862" s="1" cm="1">
        <f t="array" ref="F1862">SUMPRODUCT(([1]OUT_FinalEnergyCons!$B$4:$B$10000="Var_cap")*1,  (ISNUMBER(SEARCH("ITOT-SWHLFOBR",[1]OUT_FinalEnergyCons!$A$4:$A$10000)))*1,[1]OUT_FinalEnergyCons!D$4:D$10000)</f>
        <v>0.37633543963083199</v>
      </c>
      <c r="G1862" s="1" cm="1">
        <f t="array" ref="G1862">SUMPRODUCT(([1]OUT_FinalEnergyCons!$B$4:$B$10000="Var_cap")*1,  (ISNUMBER(SEARCH("ITOT-SWHLFOBR",[1]OUT_FinalEnergyCons!$A$4:$A$10000)))*1,[1]OUT_FinalEnergyCons!E$4:E$10000)</f>
        <v>0.38220309906177496</v>
      </c>
      <c r="H1862" s="1" cm="1">
        <f t="array" ref="H1862">SUMPRODUCT(([1]OUT_FinalEnergyCons!$B$4:$B$10000="Var_cap")*1,  (ISNUMBER(SEARCH("ITOT-SWHLFOBR",[1]OUT_FinalEnergyCons!$A$4:$A$10000)))*1,[1]OUT_FinalEnergyCons!F$4:F$10000)</f>
        <v>0.38218054715561167</v>
      </c>
      <c r="I1862" s="1" cm="1">
        <f t="array" ref="I1862">SUMPRODUCT(([1]OUT_FinalEnergyCons!$B$4:$B$10000="Var_cap")*1,  (ISNUMBER(SEARCH("ITOT-SWHLFOBR",[1]OUT_FinalEnergyCons!$A$4:$A$10000)))*1,[1]OUT_FinalEnergyCons!G$4:G$10000)</f>
        <v>0.33696713098546593</v>
      </c>
      <c r="J1862" s="1" cm="1">
        <f t="array" ref="J1862">SUMPRODUCT(([1]OUT_FinalEnergyCons!$B$4:$B$10000="Var_cap")*1,  (ISNUMBER(SEARCH("ITOT-SWHLFOBR",[1]OUT_FinalEnergyCons!$A$4:$A$10000)))*1,[1]OUT_FinalEnergyCons!H$4:H$10000)</f>
        <v>0.19236411934882705</v>
      </c>
      <c r="K1862" s="1" cm="1">
        <f t="array" ref="K1862">SUMPRODUCT(([1]OUT_FinalEnergyCons!$B$4:$B$10000="Var_cap")*1,  (ISNUMBER(SEARCH("ITOT-SWHLFOBR",[1]OUT_FinalEnergyCons!$A$4:$A$10000)))*1,[1]OUT_FinalEnergyCons!I$4:I$10000)</f>
        <v>1.2905370380810801E-2</v>
      </c>
    </row>
    <row r="1863" spans="2:11" x14ac:dyDescent="0.35">
      <c r="B1863" s="5" t="str">
        <f t="shared" si="1164"/>
        <v>SPS3</v>
      </c>
      <c r="C1863" s="5" t="str">
        <f t="shared" si="1211"/>
        <v>CH</v>
      </c>
      <c r="D1863" t="s">
        <v>2099</v>
      </c>
      <c r="E1863" t="str">
        <f t="shared" si="1120"/>
        <v>GWth/yr.</v>
      </c>
      <c r="F1863" s="1" cm="1">
        <f t="array" ref="F1863">SUMPRODUCT(([1]OUT_FinalEnergyCons!$B$4:$B$10000="Var_cap")*1,  (ISNUMBER(SEARCH("ITOT-SWHHFOBR",[1]OUT_FinalEnergyCons!$A$4:$A$10000)))*1,[1]OUT_FinalEnergyCons!D$4:D$10000)</f>
        <v>0.10309076616770547</v>
      </c>
      <c r="G1863" s="1" cm="1">
        <f t="array" ref="G1863">SUMPRODUCT(([1]OUT_FinalEnergyCons!$B$4:$B$10000="Var_cap")*1,  (ISNUMBER(SEARCH("ITOT-SWHHFOBR",[1]OUT_FinalEnergyCons!$A$4:$A$10000)))*1,[1]OUT_FinalEnergyCons!E$4:E$10000)</f>
        <v>0.10313309070511842</v>
      </c>
      <c r="H1863" s="1" cm="1">
        <f t="array" ref="H1863">SUMPRODUCT(([1]OUT_FinalEnergyCons!$B$4:$B$10000="Var_cap")*1,  (ISNUMBER(SEARCH("ITOT-SWHHFOBR",[1]OUT_FinalEnergyCons!$A$4:$A$10000)))*1,[1]OUT_FinalEnergyCons!F$4:F$10000)</f>
        <v>4.7033546049807251E-4</v>
      </c>
      <c r="I1863" s="1" cm="1">
        <f t="array" ref="I1863">SUMPRODUCT(([1]OUT_FinalEnergyCons!$B$4:$B$10000="Var_cap")*1,  (ISNUMBER(SEARCH("ITOT-SWHHFOBR",[1]OUT_FinalEnergyCons!$A$4:$A$10000)))*1,[1]OUT_FinalEnergyCons!G$4:G$10000)</f>
        <v>1.0617316082456307E-5</v>
      </c>
      <c r="J1863" s="1" cm="1">
        <f t="array" ref="J1863">SUMPRODUCT(([1]OUT_FinalEnergyCons!$B$4:$B$10000="Var_cap")*1,  (ISNUMBER(SEARCH("ITOT-SWHHFOBR",[1]OUT_FinalEnergyCons!$A$4:$A$10000)))*1,[1]OUT_FinalEnergyCons!H$4:H$10000)</f>
        <v>9.8486444871280038E-6</v>
      </c>
      <c r="K1863" s="1" cm="1">
        <f t="array" ref="K1863">SUMPRODUCT(([1]OUT_FinalEnergyCons!$B$4:$B$10000="Var_cap")*1,  (ISNUMBER(SEARCH("ITOT-SWHHFOBR",[1]OUT_FinalEnergyCons!$A$4:$A$10000)))*1,[1]OUT_FinalEnergyCons!I$4:I$10000)</f>
        <v>-7.4788807147186954E-6</v>
      </c>
    </row>
    <row r="1864" spans="2:11" x14ac:dyDescent="0.35">
      <c r="B1864" s="5" t="str">
        <f t="shared" si="1164"/>
        <v>SPS3</v>
      </c>
      <c r="C1864" s="5" t="str">
        <f t="shared" si="1211"/>
        <v>CH</v>
      </c>
      <c r="D1864" t="s">
        <v>2100</v>
      </c>
      <c r="E1864" t="str">
        <f t="shared" si="1120"/>
        <v>GWth/yr.</v>
      </c>
      <c r="F1864" s="18">
        <f>SUM(F1865:F1866)</f>
        <v>1.556581895256</v>
      </c>
      <c r="G1864" s="18">
        <f t="shared" ref="G1864:K1864" si="1212">SUM(G1865:G1866)</f>
        <v>1.5567944606335624</v>
      </c>
      <c r="H1864" s="18">
        <f t="shared" si="1212"/>
        <v>1.6568279201434255</v>
      </c>
      <c r="I1864" s="18">
        <f t="shared" si="1212"/>
        <v>1.4227439595786693</v>
      </c>
      <c r="J1864" s="18">
        <f t="shared" si="1212"/>
        <v>0.60316597633651525</v>
      </c>
      <c r="K1864" s="18">
        <f t="shared" si="1212"/>
        <v>0.33820152973410639</v>
      </c>
    </row>
    <row r="1865" spans="2:11" x14ac:dyDescent="0.35">
      <c r="B1865" s="5" t="str">
        <f t="shared" si="1164"/>
        <v>SPS3</v>
      </c>
      <c r="C1865" s="5" t="str">
        <f t="shared" si="1211"/>
        <v>CH</v>
      </c>
      <c r="D1865" t="s">
        <v>2101</v>
      </c>
      <c r="E1865" t="str">
        <f t="shared" si="1120"/>
        <v>GWth/yr.</v>
      </c>
      <c r="F1865" s="1" cm="1">
        <f t="array" ref="F1865">SUMPRODUCT(([1]OUT_FinalEnergyCons!$B$4:$B$10000="Var_cap")*1,  (ISNUMBER(SEARCH("ITOT-SWHNGA*BR",[1]OUT_FinalEnergyCons!$A$4:$A$10000)))*1,[1]OUT_FinalEnergyCons!D$4:D$10000)</f>
        <v>1.556581895256</v>
      </c>
      <c r="G1865" s="1" cm="1">
        <f t="array" ref="G1865">SUMPRODUCT(([1]OUT_FinalEnergyCons!$B$4:$B$10000="Var_cap")*1,  (ISNUMBER(SEARCH("ITOT-SWHNGA*BR",[1]OUT_FinalEnergyCons!$A$4:$A$10000)))*1,[1]OUT_FinalEnergyCons!E$4:E$10000)</f>
        <v>1.5566913139232266</v>
      </c>
      <c r="H1865" s="1" cm="1">
        <f t="array" ref="H1865">SUMPRODUCT(([1]OUT_FinalEnergyCons!$B$4:$B$10000="Var_cap")*1,  (ISNUMBER(SEARCH("ITOT-SWHNGA*BR",[1]OUT_FinalEnergyCons!$A$4:$A$10000)))*1,[1]OUT_FinalEnergyCons!F$4:F$10000)</f>
        <v>1.6561884411367316</v>
      </c>
      <c r="I1865" s="1" cm="1">
        <f t="array" ref="I1865">SUMPRODUCT(([1]OUT_FinalEnergyCons!$B$4:$B$10000="Var_cap")*1,  (ISNUMBER(SEARCH("ITOT-SWHNGA*BR",[1]OUT_FinalEnergyCons!$A$4:$A$10000)))*1,[1]OUT_FinalEnergyCons!G$4:G$10000)</f>
        <v>1.4221010131821017</v>
      </c>
      <c r="J1865" s="1" cm="1">
        <f t="array" ref="J1865">SUMPRODUCT(([1]OUT_FinalEnergyCons!$B$4:$B$10000="Var_cap")*1,  (ISNUMBER(SEARCH("ITOT-SWHNGA*BR",[1]OUT_FinalEnergyCons!$A$4:$A$10000)))*1,[1]OUT_FinalEnergyCons!H$4:H$10000)</f>
        <v>0.60301804477646959</v>
      </c>
      <c r="K1865" s="1" cm="1">
        <f t="array" ref="K1865">SUMPRODUCT(([1]OUT_FinalEnergyCons!$B$4:$B$10000="Var_cap")*1,  (ISNUMBER(SEARCH("ITOT-SWHNGA*BR",[1]OUT_FinalEnergyCons!$A$4:$A$10000)))*1,[1]OUT_FinalEnergyCons!I$4:I$10000)</f>
        <v>0.338053388108705</v>
      </c>
    </row>
    <row r="1866" spans="2:11" x14ac:dyDescent="0.35">
      <c r="B1866" s="5" t="str">
        <f t="shared" si="1164"/>
        <v>SPS3</v>
      </c>
      <c r="C1866" s="5" t="str">
        <f t="shared" si="1211"/>
        <v>CH</v>
      </c>
      <c r="D1866" t="s">
        <v>2102</v>
      </c>
      <c r="E1866" t="str">
        <f t="shared" si="1120"/>
        <v>GWth/yr.</v>
      </c>
      <c r="F1866" s="1" cm="1">
        <f t="array" ref="F1866">SUMPRODUCT(([1]OUT_FinalEnergyCons!$B$4:$B$10000="Var_cap")*1,  (ISNUMBER(SEARCH("ITOT-SWHNGAHP",[1]OUT_FinalEnergyCons!$A$4:$A$10000)))*1,[1]OUT_FinalEnergyCons!D$4:D$10000)</f>
        <v>0</v>
      </c>
      <c r="G1866" s="1" cm="1">
        <f t="array" ref="G1866">SUMPRODUCT(([1]OUT_FinalEnergyCons!$B$4:$B$10000="Var_cap")*1,  (ISNUMBER(SEARCH("ITOT-SWHNGAHP",[1]OUT_FinalEnergyCons!$A$4:$A$10000)))*1,[1]OUT_FinalEnergyCons!E$4:E$10000)</f>
        <v>1.03146710335858E-4</v>
      </c>
      <c r="H1866" s="1" cm="1">
        <f t="array" ref="H1866">SUMPRODUCT(([1]OUT_FinalEnergyCons!$B$4:$B$10000="Var_cap")*1,  (ISNUMBER(SEARCH("ITOT-SWHNGAHP",[1]OUT_FinalEnergyCons!$A$4:$A$10000)))*1,[1]OUT_FinalEnergyCons!F$4:F$10000)</f>
        <v>6.3947900669382028E-4</v>
      </c>
      <c r="I1866" s="1" cm="1">
        <f t="array" ref="I1866">SUMPRODUCT(([1]OUT_FinalEnergyCons!$B$4:$B$10000="Var_cap")*1,  (ISNUMBER(SEARCH("ITOT-SWHNGAHP",[1]OUT_FinalEnergyCons!$A$4:$A$10000)))*1,[1]OUT_FinalEnergyCons!G$4:G$10000)</f>
        <v>6.4294639656765559E-4</v>
      </c>
      <c r="J1866" s="1" cm="1">
        <f t="array" ref="J1866">SUMPRODUCT(([1]OUT_FinalEnergyCons!$B$4:$B$10000="Var_cap")*1,  (ISNUMBER(SEARCH("ITOT-SWHNGAHP",[1]OUT_FinalEnergyCons!$A$4:$A$10000)))*1,[1]OUT_FinalEnergyCons!H$4:H$10000)</f>
        <v>1.4793156004570029E-4</v>
      </c>
      <c r="K1866" s="1" cm="1">
        <f t="array" ref="K1866">SUMPRODUCT(([1]OUT_FinalEnergyCons!$B$4:$B$10000="Var_cap")*1,  (ISNUMBER(SEARCH("ITOT-SWHNGAHP",[1]OUT_FinalEnergyCons!$A$4:$A$10000)))*1,[1]OUT_FinalEnergyCons!I$4:I$10000)</f>
        <v>1.4814162540137198E-4</v>
      </c>
    </row>
    <row r="1867" spans="2:11" x14ac:dyDescent="0.35">
      <c r="B1867" s="5" t="str">
        <f t="shared" si="1164"/>
        <v>SPS3</v>
      </c>
      <c r="C1867" s="5" t="str">
        <f t="shared" si="1211"/>
        <v>CH</v>
      </c>
      <c r="D1867" t="s">
        <v>2103</v>
      </c>
      <c r="E1867" t="str">
        <f t="shared" si="1120"/>
        <v>GWth/yr.</v>
      </c>
      <c r="F1867" s="1" cm="1">
        <f t="array" ref="F1867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67" s="1" cm="1">
        <f t="array" ref="G1867">SUMPRODUCT(([1]OUT_FinalEnergyCons!$B$4:$B$10000="Var_cap")*1,  (("ITOT-SWHBIOBR"=[1]OUT_FinalEnergyCons!$A$4:$A$10000)*1+("ITOT-SWHBNGABR"=[1]OUT_FinalEnergyCons!$A$4:$A$10000))*1,[1]OUT_FinalEnergyCons!E$4:E$10000)</f>
        <v>2.425896187983401E-2</v>
      </c>
      <c r="H1867" s="1" cm="1">
        <f t="array" ref="H1867">SUMPRODUCT(([1]OUT_FinalEnergyCons!$B$4:$B$10000="Var_cap")*1,  (("ITOT-SWHBIOBR"=[1]OUT_FinalEnergyCons!$A$4:$A$10000)*1+("ITOT-SWHBNGABR"=[1]OUT_FinalEnergyCons!$A$4:$A$10000))*1,[1]OUT_FinalEnergyCons!F$4:F$10000)</f>
        <v>2.4277950307591854E-2</v>
      </c>
      <c r="I1867" s="1" cm="1">
        <f t="array" ref="I1867">SUMPRODUCT(([1]OUT_FinalEnergyCons!$B$4:$B$10000="Var_cap")*1,  (("ITOT-SWHBIOBR"=[1]OUT_FinalEnergyCons!$A$4:$A$10000)*1+("ITOT-SWHBNGABR"=[1]OUT_FinalEnergyCons!$A$4:$A$10000))*1,[1]OUT_FinalEnergyCons!G$4:G$10000)</f>
        <v>3.4562068589926498E-2</v>
      </c>
      <c r="J1867" s="1" cm="1">
        <f t="array" ref="J1867">SUMPRODUCT(([1]OUT_FinalEnergyCons!$B$4:$B$10000="Var_cap")*1,  (("ITOT-SWHBIOBR"=[1]OUT_FinalEnergyCons!$A$4:$A$10000)*1+("ITOT-SWHBNGABR"=[1]OUT_FinalEnergyCons!$A$4:$A$10000))*1,[1]OUT_FinalEnergyCons!H$4:H$10000)</f>
        <v>3.5603594289319737E-2</v>
      </c>
      <c r="K1867" s="1" cm="1">
        <f t="array" ref="K1867">SUMPRODUCT(([1]OUT_FinalEnergyCons!$B$4:$B$10000="Var_cap")*1,  (("ITOT-SWHBIOBR"=[1]OUT_FinalEnergyCons!$A$4:$A$10000)*1+("ITOT-SWHBNGABR"=[1]OUT_FinalEnergyCons!$A$4:$A$10000))*1,[1]OUT_FinalEnergyCons!I$4:I$10000)</f>
        <v>3.8410688087237702E-2</v>
      </c>
    </row>
    <row r="1868" spans="2:11" x14ac:dyDescent="0.35">
      <c r="B1868" s="5" t="str">
        <f t="shared" si="1164"/>
        <v>SPS3</v>
      </c>
      <c r="C1868" s="5" t="str">
        <f t="shared" si="1211"/>
        <v>CH</v>
      </c>
      <c r="D1868" t="s">
        <v>2104</v>
      </c>
      <c r="E1868" t="str">
        <f t="shared" si="1120"/>
        <v>GWth/yr.</v>
      </c>
      <c r="F1868" s="1">
        <f>F1869</f>
        <v>0.26172155007150499</v>
      </c>
      <c r="G1868" s="1">
        <f t="shared" ref="G1868:K1868" si="1213">G1869</f>
        <v>0.16080996886809246</v>
      </c>
      <c r="H1868" s="1">
        <f t="shared" si="1213"/>
        <v>9.8138242027188627E-2</v>
      </c>
      <c r="I1868" s="1">
        <f t="shared" si="1213"/>
        <v>6.4436347648189063E-6</v>
      </c>
      <c r="J1868" s="1">
        <f t="shared" si="1213"/>
        <v>6.5569997599649015E-6</v>
      </c>
      <c r="K1868" s="1">
        <f t="shared" si="1213"/>
        <v>7.383466736788033E-7</v>
      </c>
    </row>
    <row r="1869" spans="2:11" x14ac:dyDescent="0.35">
      <c r="B1869" s="5" t="str">
        <f t="shared" si="1164"/>
        <v>SPS3</v>
      </c>
      <c r="C1869" s="5" t="str">
        <f t="shared" si="1211"/>
        <v>CH</v>
      </c>
      <c r="D1869" t="s">
        <v>2105</v>
      </c>
      <c r="E1869" t="str">
        <f t="shared" si="1120"/>
        <v>GWth/yr.</v>
      </c>
      <c r="F1869" s="1" cm="1">
        <f t="array" ref="F1869">SUMPRODUCT(([1]OUT_FinalEnergyCons!$B$4:$B$10000="Var_cap")*1,  (ISNUMBER(SEARCH("ITOT-SWHCOA*BR",[1]OUT_FinalEnergyCons!$A$4:$A$10000)))*1,[1]OUT_FinalEnergyCons!D$4:D$10000)</f>
        <v>0.26172155007150499</v>
      </c>
      <c r="G1869" s="1" cm="1">
        <f t="array" ref="G1869">SUMPRODUCT(([1]OUT_FinalEnergyCons!$B$4:$B$10000="Var_cap")*1,  (ISNUMBER(SEARCH("ITOT-SWHCOA*BR",[1]OUT_FinalEnergyCons!$A$4:$A$10000)))*1,[1]OUT_FinalEnergyCons!E$4:E$10000)</f>
        <v>0.16080996886809246</v>
      </c>
      <c r="H1869" s="1" cm="1">
        <f t="array" ref="H1869">SUMPRODUCT(([1]OUT_FinalEnergyCons!$B$4:$B$10000="Var_cap")*1,  (ISNUMBER(SEARCH("ITOT-SWHCOA*BR",[1]OUT_FinalEnergyCons!$A$4:$A$10000)))*1,[1]OUT_FinalEnergyCons!F$4:F$10000)</f>
        <v>9.8138242027188627E-2</v>
      </c>
      <c r="I1869" s="1" cm="1">
        <f t="array" ref="I1869">SUMPRODUCT(([1]OUT_FinalEnergyCons!$B$4:$B$10000="Var_cap")*1,  (ISNUMBER(SEARCH("ITOT-SWHCOA*BR",[1]OUT_FinalEnergyCons!$A$4:$A$10000)))*1,[1]OUT_FinalEnergyCons!G$4:G$10000)</f>
        <v>6.4436347648189063E-6</v>
      </c>
      <c r="J1869" s="1" cm="1">
        <f t="array" ref="J1869">SUMPRODUCT(([1]OUT_FinalEnergyCons!$B$4:$B$10000="Var_cap")*1,  (ISNUMBER(SEARCH("ITOT-SWHCOA*BR",[1]OUT_FinalEnergyCons!$A$4:$A$10000)))*1,[1]OUT_FinalEnergyCons!H$4:H$10000)</f>
        <v>6.5569997599649015E-6</v>
      </c>
      <c r="K1869" s="1" cm="1">
        <f t="array" ref="K1869">SUMPRODUCT(([1]OUT_FinalEnergyCons!$B$4:$B$10000="Var_cap")*1,  (ISNUMBER(SEARCH("ITOT-SWHCOA*BR",[1]OUT_FinalEnergyCons!$A$4:$A$10000)))*1,[1]OUT_FinalEnergyCons!I$4:I$10000)</f>
        <v>7.383466736788033E-7</v>
      </c>
    </row>
    <row r="1870" spans="2:11" x14ac:dyDescent="0.35">
      <c r="B1870" s="5" t="str">
        <f t="shared" si="1164"/>
        <v>SPS3</v>
      </c>
      <c r="C1870" s="5" t="str">
        <f t="shared" si="1211"/>
        <v>CH</v>
      </c>
      <c r="D1870" t="s">
        <v>2106</v>
      </c>
      <c r="E1870" t="str">
        <f t="shared" si="1120"/>
        <v>GWth/yr.</v>
      </c>
      <c r="F1870" s="1">
        <f>F1871</f>
        <v>0.28883369534761499</v>
      </c>
      <c r="G1870" s="1">
        <f t="shared" ref="G1870:K1870" si="1214">G1871</f>
        <v>0.34168633370578638</v>
      </c>
      <c r="H1870" s="1">
        <f t="shared" si="1214"/>
        <v>0.34167426813511226</v>
      </c>
      <c r="I1870" s="1">
        <f t="shared" si="1214"/>
        <v>0.34347865767017532</v>
      </c>
      <c r="J1870" s="1">
        <f t="shared" si="1214"/>
        <v>0.21925767394356882</v>
      </c>
      <c r="K1870" s="1">
        <f t="shared" si="1214"/>
        <v>1.5403585559919941E-4</v>
      </c>
    </row>
    <row r="1871" spans="2:11" x14ac:dyDescent="0.35">
      <c r="B1871" s="5" t="str">
        <f t="shared" si="1164"/>
        <v>SPS3</v>
      </c>
      <c r="C1871" s="5" t="str">
        <f t="shared" si="1211"/>
        <v>CH</v>
      </c>
      <c r="D1871" t="s">
        <v>2107</v>
      </c>
      <c r="E1871" t="str">
        <f t="shared" si="1120"/>
        <v>GWth/yr.</v>
      </c>
      <c r="F1871" s="1" cm="1">
        <f t="array" ref="F1871">SUMPRODUCT(([1]OUT_FinalEnergyCons!$B$4:$B$10000="Var_cap")*1,  (ISNUMBER(SEARCH("ITOT-SWHWOD*BR",[1]OUT_FinalEnergyCons!$A$4:$A$10000)))*1,[1]OUT_FinalEnergyCons!D$4:D$10000)</f>
        <v>0.28883369534761499</v>
      </c>
      <c r="G1871" s="1" cm="1">
        <f t="array" ref="G1871">SUMPRODUCT(([1]OUT_FinalEnergyCons!$B$4:$B$10000="Var_cap")*1,  (ISNUMBER(SEARCH("ITOT-SWHWOD*BR",[1]OUT_FinalEnergyCons!$A$4:$A$10000)))*1,[1]OUT_FinalEnergyCons!E$4:E$10000)</f>
        <v>0.34168633370578638</v>
      </c>
      <c r="H1871" s="1" cm="1">
        <f t="array" ref="H1871">SUMPRODUCT(([1]OUT_FinalEnergyCons!$B$4:$B$10000="Var_cap")*1,  (ISNUMBER(SEARCH("ITOT-SWHWOD*BR",[1]OUT_FinalEnergyCons!$A$4:$A$10000)))*1,[1]OUT_FinalEnergyCons!F$4:F$10000)</f>
        <v>0.34167426813511226</v>
      </c>
      <c r="I1871" s="1" cm="1">
        <f t="array" ref="I1871">SUMPRODUCT(([1]OUT_FinalEnergyCons!$B$4:$B$10000="Var_cap")*1,  (ISNUMBER(SEARCH("ITOT-SWHWOD*BR",[1]OUT_FinalEnergyCons!$A$4:$A$10000)))*1,[1]OUT_FinalEnergyCons!G$4:G$10000)</f>
        <v>0.34347865767017532</v>
      </c>
      <c r="J1871" s="1" cm="1">
        <f t="array" ref="J1871">SUMPRODUCT(([1]OUT_FinalEnergyCons!$B$4:$B$10000="Var_cap")*1,  (ISNUMBER(SEARCH("ITOT-SWHWOD*BR",[1]OUT_FinalEnergyCons!$A$4:$A$10000)))*1,[1]OUT_FinalEnergyCons!H$4:H$10000)</f>
        <v>0.21925767394356882</v>
      </c>
      <c r="K1871" s="1" cm="1">
        <f t="array" ref="K1871">SUMPRODUCT(([1]OUT_FinalEnergyCons!$B$4:$B$10000="Var_cap")*1,  (ISNUMBER(SEARCH("ITOT-SWHWOD*BR",[1]OUT_FinalEnergyCons!$A$4:$A$10000)))*1,[1]OUT_FinalEnergyCons!I$4:I$10000)</f>
        <v>1.5403585559919941E-4</v>
      </c>
    </row>
    <row r="1872" spans="2:11" x14ac:dyDescent="0.35">
      <c r="B1872" s="5" t="str">
        <f t="shared" si="1164"/>
        <v>SPS3</v>
      </c>
      <c r="C1872" s="5" t="str">
        <f t="shared" si="1211"/>
        <v>CH</v>
      </c>
      <c r="D1872" t="s">
        <v>2108</v>
      </c>
      <c r="E1872" t="str">
        <f t="shared" si="1120"/>
        <v>GWth/yr.</v>
      </c>
      <c r="F1872" s="1">
        <f>F1873</f>
        <v>2.9860759506449799E-2</v>
      </c>
      <c r="G1872" s="1">
        <f t="shared" ref="G1872:K1872" si="1215">G1873</f>
        <v>3.8048951455941178E-2</v>
      </c>
      <c r="H1872" s="1">
        <f t="shared" si="1215"/>
        <v>3.8073639353183121E-2</v>
      </c>
      <c r="I1872" s="1">
        <f t="shared" si="1215"/>
        <v>3.7727283687443804E-2</v>
      </c>
      <c r="J1872" s="1">
        <f t="shared" si="1215"/>
        <v>0.19113068907933289</v>
      </c>
      <c r="K1872" s="1">
        <f t="shared" si="1215"/>
        <v>0.36457809860510187</v>
      </c>
    </row>
    <row r="1873" spans="2:11" x14ac:dyDescent="0.35">
      <c r="B1873" s="5" t="str">
        <f t="shared" si="1164"/>
        <v>SPS3</v>
      </c>
      <c r="C1873" s="5" t="str">
        <f t="shared" si="1211"/>
        <v>CH</v>
      </c>
      <c r="D1873" t="s">
        <v>2109</v>
      </c>
      <c r="E1873" t="str">
        <f t="shared" si="1120"/>
        <v>GWth/yr.</v>
      </c>
      <c r="F1873" s="1" cm="1">
        <f t="array" ref="F1873">SUMPRODUCT(([1]OUT_FinalEnergyCons!$B$4:$B$10000="Var_cap")*1,  (ISNUMBER(SEARCH("ITOT-SWHPLT*BR",[1]OUT_FinalEnergyCons!$A$4:$A$10000)))*1,[1]OUT_FinalEnergyCons!D$4:D$10000)</f>
        <v>2.9860759506449799E-2</v>
      </c>
      <c r="G1873" s="1" cm="1">
        <f t="array" ref="G1873">SUMPRODUCT(([1]OUT_FinalEnergyCons!$B$4:$B$10000="Var_cap")*1,  (ISNUMBER(SEARCH("ITOT-SWHPLT*BR",[1]OUT_FinalEnergyCons!$A$4:$A$10000)))*1,[1]OUT_FinalEnergyCons!E$4:E$10000)</f>
        <v>3.8048951455941178E-2</v>
      </c>
      <c r="H1873" s="1" cm="1">
        <f t="array" ref="H1873">SUMPRODUCT(([1]OUT_FinalEnergyCons!$B$4:$B$10000="Var_cap")*1,  (ISNUMBER(SEARCH("ITOT-SWHPLT*BR",[1]OUT_FinalEnergyCons!$A$4:$A$10000)))*1,[1]OUT_FinalEnergyCons!F$4:F$10000)</f>
        <v>3.8073639353183121E-2</v>
      </c>
      <c r="I1873" s="1" cm="1">
        <f t="array" ref="I1873">SUMPRODUCT(([1]OUT_FinalEnergyCons!$B$4:$B$10000="Var_cap")*1,  (ISNUMBER(SEARCH("ITOT-SWHPLT*BR",[1]OUT_FinalEnergyCons!$A$4:$A$10000)))*1,[1]OUT_FinalEnergyCons!G$4:G$10000)</f>
        <v>3.7727283687443804E-2</v>
      </c>
      <c r="J1873" s="1" cm="1">
        <f t="array" ref="J1873">SUMPRODUCT(([1]OUT_FinalEnergyCons!$B$4:$B$10000="Var_cap")*1,  (ISNUMBER(SEARCH("ITOT-SWHPLT*BR",[1]OUT_FinalEnergyCons!$A$4:$A$10000)))*1,[1]OUT_FinalEnergyCons!H$4:H$10000)</f>
        <v>0.19113068907933289</v>
      </c>
      <c r="K1873" s="1" cm="1">
        <f t="array" ref="K1873">SUMPRODUCT(([1]OUT_FinalEnergyCons!$B$4:$B$10000="Var_cap")*1,  (ISNUMBER(SEARCH("ITOT-SWHPLT*BR",[1]OUT_FinalEnergyCons!$A$4:$A$10000)))*1,[1]OUT_FinalEnergyCons!I$4:I$10000)</f>
        <v>0.36457809860510187</v>
      </c>
    </row>
    <row r="1874" spans="2:11" x14ac:dyDescent="0.35">
      <c r="B1874" s="5" t="str">
        <f t="shared" si="1164"/>
        <v>SPS3</v>
      </c>
      <c r="C1874" s="5" t="str">
        <f t="shared" si="1211"/>
        <v>CH</v>
      </c>
      <c r="D1874" t="s">
        <v>2110</v>
      </c>
      <c r="E1874" t="str">
        <f t="shared" si="1120"/>
        <v>GWth/yr.</v>
      </c>
      <c r="F1874" s="1">
        <f>F1875</f>
        <v>0.35954682816669398</v>
      </c>
      <c r="G1874" s="1">
        <f t="shared" ref="G1874:K1874" si="1216">G1875</f>
        <v>0.32719731144226682</v>
      </c>
      <c r="H1874" s="1">
        <f t="shared" si="1216"/>
        <v>0.32156501090111966</v>
      </c>
      <c r="I1874" s="1">
        <f t="shared" si="1216"/>
        <v>0.24206190668107347</v>
      </c>
      <c r="J1874" s="1">
        <f t="shared" si="1216"/>
        <v>0.21033551594523167</v>
      </c>
      <c r="K1874" s="1">
        <f t="shared" si="1216"/>
        <v>3.4452259250056239E-6</v>
      </c>
    </row>
    <row r="1875" spans="2:11" x14ac:dyDescent="0.35">
      <c r="B1875" s="5" t="str">
        <f t="shared" si="1164"/>
        <v>SPS3</v>
      </c>
      <c r="C1875" s="5" t="str">
        <f t="shared" si="1211"/>
        <v>CH</v>
      </c>
      <c r="D1875" t="s">
        <v>2111</v>
      </c>
      <c r="E1875" t="str">
        <f t="shared" si="1120"/>
        <v>GWth/yr.</v>
      </c>
      <c r="F1875" s="1" cm="1">
        <f t="array" ref="F1875">SUMPRODUCT(([1]OUT_FinalEnergyCons!$B$4:$B$10000="Var_cap")*1,  (ISNUMBER(SEARCH("ITOT-SWHWST*BR",[1]OUT_FinalEnergyCons!$A$4:$A$10000)))*1,[1]OUT_FinalEnergyCons!D$4:D$10000)</f>
        <v>0.35954682816669398</v>
      </c>
      <c r="G1875" s="1" cm="1">
        <f t="array" ref="G1875">SUMPRODUCT(([1]OUT_FinalEnergyCons!$B$4:$B$10000="Var_cap")*1,  (ISNUMBER(SEARCH("ITOT-SWHWST*BR",[1]OUT_FinalEnergyCons!$A$4:$A$10000)))*1,[1]OUT_FinalEnergyCons!E$4:E$10000)</f>
        <v>0.32719731144226682</v>
      </c>
      <c r="H1875" s="1" cm="1">
        <f t="array" ref="H1875">SUMPRODUCT(([1]OUT_FinalEnergyCons!$B$4:$B$10000="Var_cap")*1,  (ISNUMBER(SEARCH("ITOT-SWHWST*BR",[1]OUT_FinalEnergyCons!$A$4:$A$10000)))*1,[1]OUT_FinalEnergyCons!F$4:F$10000)</f>
        <v>0.32156501090111966</v>
      </c>
      <c r="I1875" s="1" cm="1">
        <f t="array" ref="I1875">SUMPRODUCT(([1]OUT_FinalEnergyCons!$B$4:$B$10000="Var_cap")*1,  (ISNUMBER(SEARCH("ITOT-SWHWST*BR",[1]OUT_FinalEnergyCons!$A$4:$A$10000)))*1,[1]OUT_FinalEnergyCons!G$4:G$10000)</f>
        <v>0.24206190668107347</v>
      </c>
      <c r="J1875" s="1" cm="1">
        <f t="array" ref="J1875">SUMPRODUCT(([1]OUT_FinalEnergyCons!$B$4:$B$10000="Var_cap")*1,  (ISNUMBER(SEARCH("ITOT-SWHWST*BR",[1]OUT_FinalEnergyCons!$A$4:$A$10000)))*1,[1]OUT_FinalEnergyCons!H$4:H$10000)</f>
        <v>0.21033551594523167</v>
      </c>
      <c r="K1875" s="1" cm="1">
        <f t="array" ref="K1875">SUMPRODUCT(([1]OUT_FinalEnergyCons!$B$4:$B$10000="Var_cap")*1,  (ISNUMBER(SEARCH("ITOT-SWHWST*BR",[1]OUT_FinalEnergyCons!$A$4:$A$10000)))*1,[1]OUT_FinalEnergyCons!I$4:I$10000)</f>
        <v>3.4452259250056239E-6</v>
      </c>
    </row>
    <row r="1876" spans="2:11" x14ac:dyDescent="0.35">
      <c r="B1876" s="5" t="str">
        <f t="shared" si="1164"/>
        <v>SPS3</v>
      </c>
      <c r="C1876" s="5" t="str">
        <f t="shared" si="1211"/>
        <v>CH</v>
      </c>
      <c r="D1876" t="s">
        <v>2112</v>
      </c>
      <c r="E1876" t="str">
        <f t="shared" si="1120"/>
        <v>GWth/yr.</v>
      </c>
      <c r="F1876" s="1">
        <f>F1877</f>
        <v>9.8214799778629808E-3</v>
      </c>
      <c r="G1876" s="1">
        <f t="shared" ref="G1876:K1876" si="1217">G1877</f>
        <v>0.10055427740785598</v>
      </c>
      <c r="H1876" s="1">
        <f t="shared" si="1217"/>
        <v>0.10055462603855828</v>
      </c>
      <c r="I1876" s="1">
        <f t="shared" si="1217"/>
        <v>0.33848556984316897</v>
      </c>
      <c r="J1876" s="1">
        <f t="shared" si="1217"/>
        <v>0.35128366034699299</v>
      </c>
      <c r="K1876" s="1">
        <f t="shared" si="1217"/>
        <v>0.351440922280017</v>
      </c>
    </row>
    <row r="1877" spans="2:11" x14ac:dyDescent="0.35">
      <c r="B1877" s="5" t="str">
        <f t="shared" si="1164"/>
        <v>SPS3</v>
      </c>
      <c r="C1877" s="5" t="str">
        <f t="shared" si="1211"/>
        <v>CH</v>
      </c>
      <c r="D1877" t="s">
        <v>2113</v>
      </c>
      <c r="E1877" t="str">
        <f t="shared" si="1120"/>
        <v>GWth/yr.</v>
      </c>
      <c r="F1877" s="1" cm="1">
        <f t="array" ref="F1877">SUMPRODUCT(([1]OUT_FinalEnergyCons!$B$4:$B$10000="Var_cap")*1, (ISNUMBER(SEARCH("ITOT-SWHSOLBR",[1]OUT_FinalEnergyCons!$A$4:$A$10000)))*1,[1]OUT_FinalEnergyCons!D$4:D$10000)</f>
        <v>9.8214799778629808E-3</v>
      </c>
      <c r="G1877" s="1" cm="1">
        <f t="array" ref="G1877">SUMPRODUCT(([1]OUT_FinalEnergyCons!$B$4:$B$10000="Var_cap")*1, (ISNUMBER(SEARCH("ITOT-SWHSOLBR",[1]OUT_FinalEnergyCons!$A$4:$A$10000)))*1,[1]OUT_FinalEnergyCons!E$4:E$10000)</f>
        <v>0.10055427740785598</v>
      </c>
      <c r="H1877" s="1" cm="1">
        <f t="array" ref="H1877">SUMPRODUCT(([1]OUT_FinalEnergyCons!$B$4:$B$10000="Var_cap")*1, (ISNUMBER(SEARCH("ITOT-SWHSOLBR",[1]OUT_FinalEnergyCons!$A$4:$A$10000)))*1,[1]OUT_FinalEnergyCons!F$4:F$10000)</f>
        <v>0.10055462603855828</v>
      </c>
      <c r="I1877" s="1" cm="1">
        <f t="array" ref="I1877">SUMPRODUCT(([1]OUT_FinalEnergyCons!$B$4:$B$10000="Var_cap")*1, (ISNUMBER(SEARCH("ITOT-SWHSOLBR",[1]OUT_FinalEnergyCons!$A$4:$A$10000)))*1,[1]OUT_FinalEnergyCons!G$4:G$10000)</f>
        <v>0.33848556984316897</v>
      </c>
      <c r="J1877" s="1" cm="1">
        <f t="array" ref="J1877">SUMPRODUCT(([1]OUT_FinalEnergyCons!$B$4:$B$10000="Var_cap")*1, (ISNUMBER(SEARCH("ITOT-SWHSOLBR",[1]OUT_FinalEnergyCons!$A$4:$A$10000)))*1,[1]OUT_FinalEnergyCons!H$4:H$10000)</f>
        <v>0.35128366034699299</v>
      </c>
      <c r="K1877" s="1" cm="1">
        <f t="array" ref="K1877">SUMPRODUCT(([1]OUT_FinalEnergyCons!$B$4:$B$10000="Var_cap")*1, (ISNUMBER(SEARCH("ITOT-SWHSOLBR",[1]OUT_FinalEnergyCons!$A$4:$A$10000)))*1,[1]OUT_FinalEnergyCons!I$4:I$10000)</f>
        <v>0.351440922280017</v>
      </c>
    </row>
    <row r="1878" spans="2:11" x14ac:dyDescent="0.35">
      <c r="B1878" s="5" t="str">
        <f t="shared" si="1164"/>
        <v>SPS3</v>
      </c>
      <c r="C1878" s="5" t="str">
        <f t="shared" si="1211"/>
        <v>CH</v>
      </c>
      <c r="D1878" t="s">
        <v>2114</v>
      </c>
      <c r="E1878" t="str">
        <f t="shared" si="1120"/>
        <v>GWth/yr.</v>
      </c>
      <c r="F1878" s="1">
        <f>F1879</f>
        <v>0</v>
      </c>
      <c r="G1878" s="1">
        <f t="shared" ref="G1878:K1878" si="1218">G1879</f>
        <v>0</v>
      </c>
      <c r="H1878" s="1">
        <f t="shared" si="1218"/>
        <v>0</v>
      </c>
      <c r="I1878" s="1">
        <f t="shared" si="1218"/>
        <v>0</v>
      </c>
      <c r="J1878" s="1">
        <f t="shared" si="1218"/>
        <v>0.11155352042558914</v>
      </c>
      <c r="K1878" s="1">
        <f t="shared" si="1218"/>
        <v>0.24408470241228683</v>
      </c>
    </row>
    <row r="1879" spans="2:11" x14ac:dyDescent="0.35">
      <c r="B1879" s="5" t="str">
        <f t="shared" si="1164"/>
        <v>SPS3</v>
      </c>
      <c r="C1879" s="5" t="str">
        <f t="shared" si="1211"/>
        <v>CH</v>
      </c>
      <c r="D1879" t="s">
        <v>2115</v>
      </c>
      <c r="E1879" t="str">
        <f t="shared" si="1120"/>
        <v>GWth/yr.</v>
      </c>
      <c r="F1879" s="1" cm="1">
        <f t="array" ref="F1879">SUMPRODUCT(([1]OUT_FinalEnergyCons!$B$4:$B$10000="Var_cap")*1, (ISNUMBER(SEARCH("ITOT-SWHH2BR",[1]OUT_FinalEnergyCons!$A$4:$A$10000)))*1,[1]OUT_FinalEnergyCons!D$4:D$10000)</f>
        <v>0</v>
      </c>
      <c r="G1879" s="1" cm="1">
        <f t="array" ref="G1879">SUMPRODUCT(([1]OUT_FinalEnergyCons!$B$4:$B$10000="Var_cap")*1, (ISNUMBER(SEARCH("ITOT-SWHH2BR",[1]OUT_FinalEnergyCons!$A$4:$A$10000)))*1,[1]OUT_FinalEnergyCons!E$4:E$10000)</f>
        <v>0</v>
      </c>
      <c r="H1879" s="1" cm="1">
        <f t="array" ref="H1879">SUMPRODUCT(([1]OUT_FinalEnergyCons!$B$4:$B$10000="Var_cap")*1, (ISNUMBER(SEARCH("ITOT-SWHH2BR",[1]OUT_FinalEnergyCons!$A$4:$A$10000)))*1,[1]OUT_FinalEnergyCons!F$4:F$10000)</f>
        <v>0</v>
      </c>
      <c r="I1879" s="1" cm="1">
        <f t="array" ref="I1879">SUMPRODUCT(([1]OUT_FinalEnergyCons!$B$4:$B$10000="Var_cap")*1, (ISNUMBER(SEARCH("ITOT-SWHH2BR",[1]OUT_FinalEnergyCons!$A$4:$A$10000)))*1,[1]OUT_FinalEnergyCons!G$4:G$10000)</f>
        <v>0</v>
      </c>
      <c r="J1879" s="1" cm="1">
        <f t="array" ref="J1879">SUMPRODUCT(([1]OUT_FinalEnergyCons!$B$4:$B$10000="Var_cap")*1, (ISNUMBER(SEARCH("ITOT-SWHH2BR",[1]OUT_FinalEnergyCons!$A$4:$A$10000)))*1,[1]OUT_FinalEnergyCons!H$4:H$10000)</f>
        <v>0.11155352042558914</v>
      </c>
      <c r="K1879" s="1" cm="1">
        <f t="array" ref="K1879">SUMPRODUCT(([1]OUT_FinalEnergyCons!$B$4:$B$10000="Var_cap")*1, (ISNUMBER(SEARCH("ITOT-SWHH2BR",[1]OUT_FinalEnergyCons!$A$4:$A$10000)))*1,[1]OUT_FinalEnergyCons!I$4:I$10000)</f>
        <v>0.24408470241228683</v>
      </c>
    </row>
    <row r="1880" spans="2:11" x14ac:dyDescent="0.35">
      <c r="B1880" s="9" t="str">
        <f t="shared" si="1164"/>
        <v>SPS3</v>
      </c>
      <c r="C1880" s="9" t="str">
        <f>C1808</f>
        <v>CH</v>
      </c>
      <c r="D1880" s="2" t="s">
        <v>1901</v>
      </c>
      <c r="E1880" s="9" t="str">
        <f t="shared" si="1120"/>
        <v>GWth/yr.</v>
      </c>
      <c r="F1880" s="17">
        <f>SUM(F1881,F1884,F1886,F1890,F1892,F1894,F1896)</f>
        <v>6.1442669192367854</v>
      </c>
      <c r="G1880" s="17">
        <f t="shared" ref="G1880:K1880" si="1219">SUM(G1881,G1884,G1886,G1890,G1892,G1894,G1896)</f>
        <v>5.8844324269119106</v>
      </c>
      <c r="H1880" s="17">
        <f t="shared" si="1219"/>
        <v>5.0366487378996592</v>
      </c>
      <c r="I1880" s="17">
        <f t="shared" si="1219"/>
        <v>5.7752708094845451</v>
      </c>
      <c r="J1880" s="17">
        <f t="shared" si="1219"/>
        <v>4.6198679289102982</v>
      </c>
      <c r="K1880" s="17">
        <f t="shared" si="1219"/>
        <v>4.061780176721637</v>
      </c>
    </row>
    <row r="1881" spans="2:11" x14ac:dyDescent="0.35">
      <c r="B1881" s="5" t="str">
        <f t="shared" si="1164"/>
        <v>SPS3</v>
      </c>
      <c r="C1881" s="5" t="str">
        <f>C1880</f>
        <v>CH</v>
      </c>
      <c r="D1881" t="s">
        <v>1902</v>
      </c>
      <c r="E1881" t="str">
        <f t="shared" si="1120"/>
        <v>GWth/yr.</v>
      </c>
      <c r="F1881" s="1">
        <f>SUM(F1882:F1883)</f>
        <v>0.61561137667465204</v>
      </c>
      <c r="G1881" s="1">
        <f t="shared" ref="G1881:K1881" si="1220">SUM(G1882:G1883)</f>
        <v>0.50653865272783405</v>
      </c>
      <c r="H1881" s="1">
        <f t="shared" si="1220"/>
        <v>0.55563098038919856</v>
      </c>
      <c r="I1881" s="1">
        <f t="shared" si="1220"/>
        <v>1.1304083503150897</v>
      </c>
      <c r="J1881" s="1">
        <f t="shared" si="1220"/>
        <v>1.960427306976898</v>
      </c>
      <c r="K1881" s="1">
        <f t="shared" si="1220"/>
        <v>1.9237936605132422</v>
      </c>
    </row>
    <row r="1882" spans="2:11" x14ac:dyDescent="0.35">
      <c r="B1882" s="5" t="str">
        <f t="shared" si="1164"/>
        <v>SPS3</v>
      </c>
      <c r="C1882" s="5" t="str">
        <f>C1881</f>
        <v>CH</v>
      </c>
      <c r="D1882" t="s">
        <v>1903</v>
      </c>
      <c r="E1882" t="str">
        <f t="shared" si="1120"/>
        <v>GWth/yr.</v>
      </c>
      <c r="F1882" s="1" cm="1">
        <f t="array" ref="F1882">SUMPRODUCT(([1]OUT_FinalEnergyCons!$B$4:$B$10000="Var_cap")*1, (ISNUMBER(SEARCH("SCOM-SHELCBR",[1]OUT_FinalEnergyCons!$A$4:$A$10000)))*1,[1]OUT_FinalEnergyCons!D$4:D$10000)</f>
        <v>0.18499355979121504</v>
      </c>
      <c r="G1882" s="1" cm="1">
        <f t="array" ref="G1882">SUMPRODUCT(([1]OUT_FinalEnergyCons!$B$4:$B$10000="Var_cap")*1, (ISNUMBER(SEARCH("SCOM-SHELCBR",[1]OUT_FinalEnergyCons!$A$4:$A$10000)))*1,[1]OUT_FinalEnergyCons!E$4:E$10000)</f>
        <v>7.5922025246968117E-2</v>
      </c>
      <c r="H1882" s="1" cm="1">
        <f t="array" ref="H1882">SUMPRODUCT(([1]OUT_FinalEnergyCons!$B$4:$B$10000="Var_cap")*1, (ISNUMBER(SEARCH("SCOM-SHELCBR",[1]OUT_FinalEnergyCons!$A$4:$A$10000)))*1,[1]OUT_FinalEnergyCons!F$4:F$10000)</f>
        <v>6.738287904234587E-2</v>
      </c>
      <c r="I1882" s="1" cm="1">
        <f t="array" ref="I1882">SUMPRODUCT(([1]OUT_FinalEnergyCons!$B$4:$B$10000="Var_cap")*1, (ISNUMBER(SEARCH("SCOM-SHELCBR",[1]OUT_FinalEnergyCons!$A$4:$A$10000)))*1,[1]OUT_FinalEnergyCons!G$4:G$10000)</f>
        <v>4.108609081891676E-2</v>
      </c>
      <c r="J1882" s="1" cm="1">
        <f t="array" ref="J1882">SUMPRODUCT(([1]OUT_FinalEnergyCons!$B$4:$B$10000="Var_cap")*1, (ISNUMBER(SEARCH("SCOM-SHELCBR",[1]OUT_FinalEnergyCons!$A$4:$A$10000)))*1,[1]OUT_FinalEnergyCons!H$4:H$10000)</f>
        <v>3.014119825007618E-2</v>
      </c>
      <c r="K1882" s="1" cm="1">
        <f t="array" ref="K1882">SUMPRODUCT(([1]OUT_FinalEnergyCons!$B$4:$B$10000="Var_cap")*1, (ISNUMBER(SEARCH("SCOM-SHELCBR",[1]OUT_FinalEnergyCons!$A$4:$A$10000)))*1,[1]OUT_FinalEnergyCons!I$4:I$10000)</f>
        <v>1.5718953554500193E-2</v>
      </c>
    </row>
    <row r="1883" spans="2:11" x14ac:dyDescent="0.35">
      <c r="B1883" s="5" t="str">
        <f t="shared" si="1164"/>
        <v>SPS3</v>
      </c>
      <c r="C1883" s="5" t="str">
        <f t="shared" ref="C1883" si="1221">C1882</f>
        <v>CH</v>
      </c>
      <c r="D1883" t="s">
        <v>1904</v>
      </c>
      <c r="E1883" t="str">
        <f t="shared" si="1120"/>
        <v>GWth/yr.</v>
      </c>
      <c r="F1883" s="1" cm="1">
        <f t="array" ref="F1883">SUMPRODUCT(([1]OUT_FinalEnergyCons!$B$4:$B$10000="Var_cap")*1, (ISNUMBER(SEARCH("SCOM-SHELCHP",[1]OUT_FinalEnergyCons!$A$4:$A$10000)))*1,[1]OUT_FinalEnergyCons!D$4:D$10000)</f>
        <v>0.43061781688343698</v>
      </c>
      <c r="G1883" s="1" cm="1">
        <f t="array" ref="G1883">SUMPRODUCT(([1]OUT_FinalEnergyCons!$B$4:$B$10000="Var_cap")*1, (ISNUMBER(SEARCH("SCOM-SHELCHP",[1]OUT_FinalEnergyCons!$A$4:$A$10000)))*1,[1]OUT_FinalEnergyCons!E$4:E$10000)</f>
        <v>0.43061662748086593</v>
      </c>
      <c r="H1883" s="1" cm="1">
        <f t="array" ref="H1883">SUMPRODUCT(([1]OUT_FinalEnergyCons!$B$4:$B$10000="Var_cap")*1, (ISNUMBER(SEARCH("SCOM-SHELCHP",[1]OUT_FinalEnergyCons!$A$4:$A$10000)))*1,[1]OUT_FinalEnergyCons!F$4:F$10000)</f>
        <v>0.48824810134685265</v>
      </c>
      <c r="I1883" s="1" cm="1">
        <f t="array" ref="I1883">SUMPRODUCT(([1]OUT_FinalEnergyCons!$B$4:$B$10000="Var_cap")*1, (ISNUMBER(SEARCH("SCOM-SHELCHP",[1]OUT_FinalEnergyCons!$A$4:$A$10000)))*1,[1]OUT_FinalEnergyCons!G$4:G$10000)</f>
        <v>1.0893222594961729</v>
      </c>
      <c r="J1883" s="1" cm="1">
        <f t="array" ref="J1883">SUMPRODUCT(([1]OUT_FinalEnergyCons!$B$4:$B$10000="Var_cap")*1, (ISNUMBER(SEARCH("SCOM-SHELCHP",[1]OUT_FinalEnergyCons!$A$4:$A$10000)))*1,[1]OUT_FinalEnergyCons!H$4:H$10000)</f>
        <v>1.9302861087268219</v>
      </c>
      <c r="K1883" s="1" cm="1">
        <f t="array" ref="K1883">SUMPRODUCT(([1]OUT_FinalEnergyCons!$B$4:$B$10000="Var_cap")*1, (ISNUMBER(SEARCH("SCOM-SHELCHP",[1]OUT_FinalEnergyCons!$A$4:$A$10000)))*1,[1]OUT_FinalEnergyCons!I$4:I$10000)</f>
        <v>1.908074706958742</v>
      </c>
    </row>
    <row r="1884" spans="2:11" x14ac:dyDescent="0.35">
      <c r="B1884" s="5" t="str">
        <f t="shared" si="1164"/>
        <v>SPS3</v>
      </c>
      <c r="C1884" s="5" t="str">
        <f t="shared" ref="C1884" si="1222">C1883</f>
        <v>CH</v>
      </c>
      <c r="D1884" t="s">
        <v>1905</v>
      </c>
      <c r="E1884" t="str">
        <f t="shared" si="1120"/>
        <v>GWth/yr.</v>
      </c>
      <c r="F1884" s="1">
        <f>F1885</f>
        <v>1.9285767500270312</v>
      </c>
      <c r="G1884" s="1">
        <f t="shared" ref="G1884:K1884" si="1223">G1885</f>
        <v>1.6678751480138054</v>
      </c>
      <c r="H1884" s="1">
        <f t="shared" si="1223"/>
        <v>1.5501020396941232</v>
      </c>
      <c r="I1884" s="1">
        <f t="shared" si="1223"/>
        <v>1.5497981440406332</v>
      </c>
      <c r="J1884" s="1">
        <f t="shared" si="1223"/>
        <v>0.15825946275652417</v>
      </c>
      <c r="K1884" s="1">
        <f t="shared" si="1223"/>
        <v>8.3122672064524991E-3</v>
      </c>
    </row>
    <row r="1885" spans="2:11" x14ac:dyDescent="0.35">
      <c r="B1885" s="5" t="str">
        <f t="shared" si="1164"/>
        <v>SPS3</v>
      </c>
      <c r="C1885" s="5" t="str">
        <f t="shared" ref="C1885" si="1224">C1884</f>
        <v>CH</v>
      </c>
      <c r="D1885" t="s">
        <v>1906</v>
      </c>
      <c r="E1885" t="str">
        <f t="shared" ref="E1885:E1897" si="1225">E1884</f>
        <v>GWth/yr.</v>
      </c>
      <c r="F1885" s="1" cm="1">
        <f t="array" ref="F1885">SUMPRODUCT(([1]OUT_FinalEnergyCons!$B$4:$B$10000="Var_cap")*1,(ISNUMBER(SEARCH("SCOM-SHLFOBR",[1]OUT_FinalEnergyCons!$A$4:$A$10000)))*1,[1]OUT_FinalEnergyCons!D$4:D$10000)</f>
        <v>1.9285767500270312</v>
      </c>
      <c r="G1885" s="1" cm="1">
        <f t="array" ref="G1885">SUMPRODUCT(([1]OUT_FinalEnergyCons!$B$4:$B$10000="Var_cap")*1,(ISNUMBER(SEARCH("SCOM-SHLFOBR",[1]OUT_FinalEnergyCons!$A$4:$A$10000)))*1,[1]OUT_FinalEnergyCons!E$4:E$10000)</f>
        <v>1.6678751480138054</v>
      </c>
      <c r="H1885" s="1" cm="1">
        <f t="array" ref="H1885">SUMPRODUCT(([1]OUT_FinalEnergyCons!$B$4:$B$10000="Var_cap")*1,(ISNUMBER(SEARCH("SCOM-SHLFOBR",[1]OUT_FinalEnergyCons!$A$4:$A$10000)))*1,[1]OUT_FinalEnergyCons!F$4:F$10000)</f>
        <v>1.5501020396941232</v>
      </c>
      <c r="I1885" s="1" cm="1">
        <f t="array" ref="I1885">SUMPRODUCT(([1]OUT_FinalEnergyCons!$B$4:$B$10000="Var_cap")*1,(ISNUMBER(SEARCH("SCOM-SHLFOBR",[1]OUT_FinalEnergyCons!$A$4:$A$10000)))*1,[1]OUT_FinalEnergyCons!G$4:G$10000)</f>
        <v>1.5497981440406332</v>
      </c>
      <c r="J1885" s="1" cm="1">
        <f t="array" ref="J1885">SUMPRODUCT(([1]OUT_FinalEnergyCons!$B$4:$B$10000="Var_cap")*1,(ISNUMBER(SEARCH("SCOM-SHLFOBR",[1]OUT_FinalEnergyCons!$A$4:$A$10000)))*1,[1]OUT_FinalEnergyCons!H$4:H$10000)</f>
        <v>0.15825946275652417</v>
      </c>
      <c r="K1885" s="1" cm="1">
        <f t="array" ref="K1885">SUMPRODUCT(([1]OUT_FinalEnergyCons!$B$4:$B$10000="Var_cap")*1,(ISNUMBER(SEARCH("SCOM-SHLFOBR",[1]OUT_FinalEnergyCons!$A$4:$A$10000)))*1,[1]OUT_FinalEnergyCons!I$4:I$10000)</f>
        <v>8.3122672064524991E-3</v>
      </c>
    </row>
    <row r="1886" spans="2:11" x14ac:dyDescent="0.35">
      <c r="B1886" s="5" t="str">
        <f t="shared" si="1164"/>
        <v>SPS3</v>
      </c>
      <c r="C1886" s="5" t="str">
        <f t="shared" ref="C1886" si="1226">C1885</f>
        <v>CH</v>
      </c>
      <c r="D1886" t="s">
        <v>1907</v>
      </c>
      <c r="E1886" t="str">
        <f t="shared" si="1225"/>
        <v>GWth/yr.</v>
      </c>
      <c r="F1886" s="1">
        <f>SUM(F1887:F1889)</f>
        <v>2.8800253329640171</v>
      </c>
      <c r="G1886" s="1">
        <f t="shared" ref="G1886:K1886" si="1227">SUM(G1887:G1889)</f>
        <v>2.8796435561961071</v>
      </c>
      <c r="H1886" s="1">
        <f t="shared" si="1227"/>
        <v>2.2516929011535449</v>
      </c>
      <c r="I1886" s="1">
        <f t="shared" si="1227"/>
        <v>2.3958505792128348</v>
      </c>
      <c r="J1886" s="1">
        <f t="shared" si="1227"/>
        <v>0.67928145589615396</v>
      </c>
      <c r="K1886" s="1">
        <f t="shared" si="1227"/>
        <v>0.48110746351770911</v>
      </c>
    </row>
    <row r="1887" spans="2:11" x14ac:dyDescent="0.35">
      <c r="B1887" s="5" t="str">
        <f t="shared" si="1164"/>
        <v>SPS3</v>
      </c>
      <c r="C1887" s="5" t="str">
        <f t="shared" ref="C1887" si="1228">C1886</f>
        <v>CH</v>
      </c>
      <c r="D1887" t="s">
        <v>1908</v>
      </c>
      <c r="E1887" t="str">
        <f t="shared" si="1225"/>
        <v>GWth/yr.</v>
      </c>
      <c r="F1887" s="1" cm="1">
        <f t="array" ref="F1887">SUMPRODUCT(([1]OUT_FinalEnergyCons!$B$4:$B$10000="Var_cap")*1, (ISNUMBER(SEARCH("SCOM-SHNGABR",[1]OUT_FinalEnergyCons!$A$4:$A$10000)))*1,[1]OUT_FinalEnergyCons!D$4:D$10000)</f>
        <v>2.7746818829039994</v>
      </c>
      <c r="G1887" s="1" cm="1">
        <f t="array" ref="G1887">SUMPRODUCT(([1]OUT_FinalEnergyCons!$B$4:$B$10000="Var_cap")*1, (ISNUMBER(SEARCH("SCOM-SHNGABR",[1]OUT_FinalEnergyCons!$A$4:$A$10000)))*1,[1]OUT_FinalEnergyCons!E$4:E$10000)</f>
        <v>2.7741897032148231</v>
      </c>
      <c r="H1887" s="1" cm="1">
        <f t="array" ref="H1887">SUMPRODUCT(([1]OUT_FinalEnergyCons!$B$4:$B$10000="Var_cap")*1, (ISNUMBER(SEARCH("SCOM-SHNGABR",[1]OUT_FinalEnergyCons!$A$4:$A$10000)))*1,[1]OUT_FinalEnergyCons!F$4:F$10000)</f>
        <v>1.9684850616683784</v>
      </c>
      <c r="I1887" s="1" cm="1">
        <f t="array" ref="I1887">SUMPRODUCT(([1]OUT_FinalEnergyCons!$B$4:$B$10000="Var_cap")*1, (ISNUMBER(SEARCH("SCOM-SHNGABR",[1]OUT_FinalEnergyCons!$A$4:$A$10000)))*1,[1]OUT_FinalEnergyCons!G$4:G$10000)</f>
        <v>1.9682800587975715</v>
      </c>
      <c r="J1887" s="1" cm="1">
        <f t="array" ref="J1887">SUMPRODUCT(([1]OUT_FinalEnergyCons!$B$4:$B$10000="Var_cap")*1, (ISNUMBER(SEARCH("SCOM-SHNGABR",[1]OUT_FinalEnergyCons!$A$4:$A$10000)))*1,[1]OUT_FinalEnergyCons!H$4:H$10000)</f>
        <v>0.20622837647223785</v>
      </c>
      <c r="K1887" s="1" cm="1">
        <f t="array" ref="K1887">SUMPRODUCT(([1]OUT_FinalEnergyCons!$B$4:$B$10000="Var_cap")*1, (ISNUMBER(SEARCH("SCOM-SHNGABR",[1]OUT_FinalEnergyCons!$A$4:$A$10000)))*1,[1]OUT_FinalEnergyCons!I$4:I$10000)</f>
        <v>9.4876115681187062E-2</v>
      </c>
    </row>
    <row r="1888" spans="2:11" x14ac:dyDescent="0.35">
      <c r="B1888" s="5" t="str">
        <f t="shared" si="1164"/>
        <v>SPS3</v>
      </c>
      <c r="C1888" s="5" t="str">
        <f t="shared" ref="C1888" si="1229">C1887</f>
        <v>CH</v>
      </c>
      <c r="D1888" t="s">
        <v>1909</v>
      </c>
      <c r="E1888" t="str">
        <f t="shared" si="1225"/>
        <v>GWth/yr.</v>
      </c>
      <c r="F1888" s="1" cm="1">
        <f t="array" ref="F1888">SUMPRODUCT(([1]OUT_FinalEnergyCons!$B$4:$B$10000="Var_cap")*1, (ISNUMBER(SEARCH("SCOM-SHngahp",[1]OUT_FinalEnergyCons!$A$4:$A$10000)))*1,[1]OUT_FinalEnergyCons!D$4:D$10000)</f>
        <v>9.4587576832422303E-7</v>
      </c>
      <c r="G1888" s="1" cm="1">
        <f t="array" ref="G1888">SUMPRODUCT(([1]OUT_FinalEnergyCons!$B$4:$B$10000="Var_cap")*1, (ISNUMBER(SEARCH("SCOM-SHngahp",[1]OUT_FinalEnergyCons!$A$4:$A$10000)))*1,[1]OUT_FinalEnergyCons!E$4:E$10000)</f>
        <v>1.0340181048488959E-4</v>
      </c>
      <c r="H1888" s="1" cm="1">
        <f t="array" ref="H1888">SUMPRODUCT(([1]OUT_FinalEnergyCons!$B$4:$B$10000="Var_cap")*1, (ISNUMBER(SEARCH("SCOM-SHngahp",[1]OUT_FinalEnergyCons!$A$4:$A$10000)))*1,[1]OUT_FinalEnergyCons!F$4:F$10000)</f>
        <v>0.17793910230820298</v>
      </c>
      <c r="I1888" s="1" cm="1">
        <f t="array" ref="I1888">SUMPRODUCT(([1]OUT_FinalEnergyCons!$B$4:$B$10000="Var_cap")*1, (ISNUMBER(SEARCH("SCOM-SHngahp",[1]OUT_FinalEnergyCons!$A$4:$A$10000)))*1,[1]OUT_FinalEnergyCons!G$4:G$10000)</f>
        <v>0.32232065429622991</v>
      </c>
      <c r="J1888" s="1" cm="1">
        <f t="array" ref="J1888">SUMPRODUCT(([1]OUT_FinalEnergyCons!$B$4:$B$10000="Var_cap")*1, (ISNUMBER(SEARCH("SCOM-SHngahp",[1]OUT_FinalEnergyCons!$A$4:$A$10000)))*1,[1]OUT_FinalEnergyCons!H$4:H$10000)</f>
        <v>0.47283398920312358</v>
      </c>
      <c r="K1888" s="1" cm="1">
        <f t="array" ref="K1888">SUMPRODUCT(([1]OUT_FinalEnergyCons!$B$4:$B$10000="Var_cap")*1, (ISNUMBER(SEARCH("SCOM-SHngahp",[1]OUT_FinalEnergyCons!$A$4:$A$10000)))*1,[1]OUT_FinalEnergyCons!I$4:I$10000)</f>
        <v>0.38604545426779624</v>
      </c>
    </row>
    <row r="1889" spans="2:11" x14ac:dyDescent="0.35">
      <c r="B1889" s="5" t="str">
        <f t="shared" si="1164"/>
        <v>SPS3</v>
      </c>
      <c r="C1889" s="5" t="str">
        <f t="shared" ref="C1889" si="1230">C1888</f>
        <v>CH</v>
      </c>
      <c r="D1889" t="s">
        <v>1910</v>
      </c>
      <c r="E1889" t="str">
        <f t="shared" si="1225"/>
        <v>GWth/yr.</v>
      </c>
      <c r="F1889" s="1" cm="1">
        <f t="array" ref="F1889">SUMPRODUCT(([1]OUT_FinalEnergyCons!$B$4:$B$10000="Var_cap")*1, (("SCOM-SHBIOBR"=[1]OUT_FinalEnergyCons!$A$4:$A$10000)*1+("SCOM-SHBNGABR"=[1]OUT_FinalEnergyCons!$A$4:$A$10000)*1),[1]OUT_FinalEnergyCons!D$4:D$10000)</f>
        <v>0.10534250418424941</v>
      </c>
      <c r="G1889" s="1" cm="1">
        <f t="array" ref="G1889">SUMPRODUCT(([1]OUT_FinalEnergyCons!$B$4:$B$10000="Var_cap")*1, (("SCOM-SHBIOBR"=[1]OUT_FinalEnergyCons!$A$4:$A$10000)*1+("SCOM-SHBNGABR"=[1]OUT_FinalEnergyCons!$A$4:$A$10000)*1),[1]OUT_FinalEnergyCons!E$4:E$10000)</f>
        <v>0.10535045117079887</v>
      </c>
      <c r="H1889" s="1" cm="1">
        <f t="array" ref="H1889">SUMPRODUCT(([1]OUT_FinalEnergyCons!$B$4:$B$10000="Var_cap")*1, (("SCOM-SHBIOBR"=[1]OUT_FinalEnergyCons!$A$4:$A$10000)*1+("SCOM-SHBNGABR"=[1]OUT_FinalEnergyCons!$A$4:$A$10000)*1),[1]OUT_FinalEnergyCons!F$4:F$10000)</f>
        <v>0.10526873717696349</v>
      </c>
      <c r="I1889" s="1" cm="1">
        <f t="array" ref="I1889">SUMPRODUCT(([1]OUT_FinalEnergyCons!$B$4:$B$10000="Var_cap")*1, (("SCOM-SHBIOBR"=[1]OUT_FinalEnergyCons!$A$4:$A$10000)*1+("SCOM-SHBNGABR"=[1]OUT_FinalEnergyCons!$A$4:$A$10000)*1),[1]OUT_FinalEnergyCons!G$4:G$10000)</f>
        <v>0.10524986611903342</v>
      </c>
      <c r="J1889" s="1" cm="1">
        <f t="array" ref="J1889">SUMPRODUCT(([1]OUT_FinalEnergyCons!$B$4:$B$10000="Var_cap")*1, (("SCOM-SHBIOBR"=[1]OUT_FinalEnergyCons!$A$4:$A$10000)*1+("SCOM-SHBNGABR"=[1]OUT_FinalEnergyCons!$A$4:$A$10000)*1),[1]OUT_FinalEnergyCons!H$4:H$10000)</f>
        <v>2.1909022079256673E-4</v>
      </c>
      <c r="K1889" s="1" cm="1">
        <f t="array" ref="K1889">SUMPRODUCT(([1]OUT_FinalEnergyCons!$B$4:$B$10000="Var_cap")*1, (("SCOM-SHBIOBR"=[1]OUT_FinalEnergyCons!$A$4:$A$10000)*1+("SCOM-SHBNGABR"=[1]OUT_FinalEnergyCons!$A$4:$A$10000)*1),[1]OUT_FinalEnergyCons!I$4:I$10000)</f>
        <v>1.8589356872581836E-4</v>
      </c>
    </row>
    <row r="1890" spans="2:11" x14ac:dyDescent="0.35">
      <c r="B1890" s="5" t="str">
        <f t="shared" si="1164"/>
        <v>SPS3</v>
      </c>
      <c r="C1890" s="5" t="str">
        <f t="shared" ref="C1890" si="1231">C1889</f>
        <v>CH</v>
      </c>
      <c r="D1890" t="s">
        <v>1911</v>
      </c>
      <c r="E1890" t="str">
        <f t="shared" si="1225"/>
        <v>GWth/yr.</v>
      </c>
      <c r="F1890" s="1">
        <f>F1891</f>
        <v>0.47844448470795276</v>
      </c>
      <c r="G1890" s="1">
        <f t="shared" ref="G1890:K1890" si="1232">G1891</f>
        <v>0.55560132682051078</v>
      </c>
      <c r="H1890" s="1">
        <f t="shared" si="1232"/>
        <v>0.55553849567677027</v>
      </c>
      <c r="I1890" s="1">
        <f t="shared" si="1232"/>
        <v>0.55552066928471067</v>
      </c>
      <c r="J1890" s="1">
        <f t="shared" si="1232"/>
        <v>0.23856607431003282</v>
      </c>
      <c r="K1890" s="1">
        <f t="shared" si="1232"/>
        <v>0.11861020339250791</v>
      </c>
    </row>
    <row r="1891" spans="2:11" x14ac:dyDescent="0.35">
      <c r="B1891" s="5" t="str">
        <f t="shared" si="1164"/>
        <v>SPS3</v>
      </c>
      <c r="C1891" s="5" t="str">
        <f t="shared" ref="C1891" si="1233">C1890</f>
        <v>CH</v>
      </c>
      <c r="D1891" t="s">
        <v>1912</v>
      </c>
      <c r="E1891" t="str">
        <f t="shared" si="1225"/>
        <v>GWth/yr.</v>
      </c>
      <c r="F1891" s="1" cm="1">
        <f t="array" ref="F1891">SUMPRODUCT(([1]OUT_FinalEnergyCons!$B$4:$B$10000="Var_cap")*1, (ISNUMBER(SEARCH("SCOM-SHWODBR",[1]OUT_FinalEnergyCons!$A$4:$A$10000)))*1,[1]OUT_FinalEnergyCons!D$4:D$10000)</f>
        <v>0.47844448470795276</v>
      </c>
      <c r="G1891" s="1" cm="1">
        <f t="array" ref="G1891">SUMPRODUCT(([1]OUT_FinalEnergyCons!$B$4:$B$10000="Var_cap")*1, (ISNUMBER(SEARCH("SCOM-SHWODBR",[1]OUT_FinalEnergyCons!$A$4:$A$10000)))*1,[1]OUT_FinalEnergyCons!E$4:E$10000)</f>
        <v>0.55560132682051078</v>
      </c>
      <c r="H1891" s="1" cm="1">
        <f t="array" ref="H1891">SUMPRODUCT(([1]OUT_FinalEnergyCons!$B$4:$B$10000="Var_cap")*1, (ISNUMBER(SEARCH("SCOM-SHWODBR",[1]OUT_FinalEnergyCons!$A$4:$A$10000)))*1,[1]OUT_FinalEnergyCons!F$4:F$10000)</f>
        <v>0.55553849567677027</v>
      </c>
      <c r="I1891" s="1" cm="1">
        <f t="array" ref="I1891">SUMPRODUCT(([1]OUT_FinalEnergyCons!$B$4:$B$10000="Var_cap")*1, (ISNUMBER(SEARCH("SCOM-SHWODBR",[1]OUT_FinalEnergyCons!$A$4:$A$10000)))*1,[1]OUT_FinalEnergyCons!G$4:G$10000)</f>
        <v>0.55552066928471067</v>
      </c>
      <c r="J1891" s="1" cm="1">
        <f t="array" ref="J1891">SUMPRODUCT(([1]OUT_FinalEnergyCons!$B$4:$B$10000="Var_cap")*1, (ISNUMBER(SEARCH("SCOM-SHWODBR",[1]OUT_FinalEnergyCons!$A$4:$A$10000)))*1,[1]OUT_FinalEnergyCons!H$4:H$10000)</f>
        <v>0.23856607431003282</v>
      </c>
      <c r="K1891" s="1" cm="1">
        <f t="array" ref="K1891">SUMPRODUCT(([1]OUT_FinalEnergyCons!$B$4:$B$10000="Var_cap")*1, (ISNUMBER(SEARCH("SCOM-SHWODBR",[1]OUT_FinalEnergyCons!$A$4:$A$10000)))*1,[1]OUT_FinalEnergyCons!I$4:I$10000)</f>
        <v>0.11861020339250791</v>
      </c>
    </row>
    <row r="1892" spans="2:11" x14ac:dyDescent="0.35">
      <c r="B1892" s="5" t="str">
        <f t="shared" si="1164"/>
        <v>SPS3</v>
      </c>
      <c r="C1892" s="5" t="str">
        <f t="shared" ref="C1892" si="1234">C1891</f>
        <v>CH</v>
      </c>
      <c r="D1892" t="s">
        <v>1913</v>
      </c>
      <c r="E1892" t="str">
        <f t="shared" si="1225"/>
        <v>GWth/yr.</v>
      </c>
      <c r="F1892" s="1">
        <f>F1893</f>
        <v>0.15051658751416436</v>
      </c>
      <c r="G1892" s="1">
        <f t="shared" ref="G1892:K1892" si="1235">G1893</f>
        <v>0.1748883631320883</v>
      </c>
      <c r="H1892" s="1">
        <f t="shared" si="1235"/>
        <v>2.3797592528991302E-2</v>
      </c>
      <c r="I1892" s="1">
        <f t="shared" si="1235"/>
        <v>2.3719011018392827E-2</v>
      </c>
      <c r="J1892" s="1">
        <f t="shared" si="1235"/>
        <v>6.8114843194793323E-3</v>
      </c>
      <c r="K1892" s="1">
        <f t="shared" si="1235"/>
        <v>3.6044365859804269E-3</v>
      </c>
    </row>
    <row r="1893" spans="2:11" x14ac:dyDescent="0.35">
      <c r="B1893" s="5" t="str">
        <f t="shared" si="1164"/>
        <v>SPS3</v>
      </c>
      <c r="C1893" s="5" t="str">
        <f t="shared" ref="C1893" si="1236">C1892</f>
        <v>CH</v>
      </c>
      <c r="D1893" t="s">
        <v>1914</v>
      </c>
      <c r="E1893" t="str">
        <f t="shared" si="1225"/>
        <v>GWth/yr.</v>
      </c>
      <c r="F1893" s="1" cm="1">
        <f t="array" ref="F1893">SUMPRODUCT(([1]OUT_FinalEnergyCons!$B$4:$B$10000="Var_cap")*1,(ISNUMBER(SEARCH("SCOM-SHPLTBR",[1]OUT_FinalEnergyCons!$A$4:$A$10000)))*1,[1]OUT_FinalEnergyCons!D$4:D$10000)</f>
        <v>0.15051658751416436</v>
      </c>
      <c r="G1893" s="1" cm="1">
        <f t="array" ref="G1893">SUMPRODUCT(([1]OUT_FinalEnergyCons!$B$4:$B$10000="Var_cap")*1,(ISNUMBER(SEARCH("SCOM-SHPLTBR",[1]OUT_FinalEnergyCons!$A$4:$A$10000)))*1,[1]OUT_FinalEnergyCons!E$4:E$10000)</f>
        <v>0.1748883631320883</v>
      </c>
      <c r="H1893" s="1" cm="1">
        <f t="array" ref="H1893">SUMPRODUCT(([1]OUT_FinalEnergyCons!$B$4:$B$10000="Var_cap")*1,(ISNUMBER(SEARCH("SCOM-SHPLTBR",[1]OUT_FinalEnergyCons!$A$4:$A$10000)))*1,[1]OUT_FinalEnergyCons!F$4:F$10000)</f>
        <v>2.3797592528991302E-2</v>
      </c>
      <c r="I1893" s="1" cm="1">
        <f t="array" ref="I1893">SUMPRODUCT(([1]OUT_FinalEnergyCons!$B$4:$B$10000="Var_cap")*1,(ISNUMBER(SEARCH("SCOM-SHPLTBR",[1]OUT_FinalEnergyCons!$A$4:$A$10000)))*1,[1]OUT_FinalEnergyCons!G$4:G$10000)</f>
        <v>2.3719011018392827E-2</v>
      </c>
      <c r="J1893" s="1" cm="1">
        <f t="array" ref="J1893">SUMPRODUCT(([1]OUT_FinalEnergyCons!$B$4:$B$10000="Var_cap")*1,(ISNUMBER(SEARCH("SCOM-SHPLTBR",[1]OUT_FinalEnergyCons!$A$4:$A$10000)))*1,[1]OUT_FinalEnergyCons!H$4:H$10000)</f>
        <v>6.8114843194793323E-3</v>
      </c>
      <c r="K1893" s="1" cm="1">
        <f t="array" ref="K1893">SUMPRODUCT(([1]OUT_FinalEnergyCons!$B$4:$B$10000="Var_cap")*1,(ISNUMBER(SEARCH("SCOM-SHPLTBR",[1]OUT_FinalEnergyCons!$A$4:$A$10000)))*1,[1]OUT_FinalEnergyCons!I$4:I$10000)</f>
        <v>3.6044365859804269E-3</v>
      </c>
    </row>
    <row r="1894" spans="2:11" x14ac:dyDescent="0.35">
      <c r="B1894" s="5" t="str">
        <f t="shared" si="1164"/>
        <v>SPS3</v>
      </c>
      <c r="C1894" s="5" t="str">
        <f t="shared" ref="C1894" si="1237">C1893</f>
        <v>CH</v>
      </c>
      <c r="D1894" t="s">
        <v>1915</v>
      </c>
      <c r="E1894" t="str">
        <f t="shared" si="1225"/>
        <v>GWth/yr.</v>
      </c>
      <c r="F1894" s="1">
        <f>F1895</f>
        <v>9.1092387348968268E-2</v>
      </c>
      <c r="G1894" s="1">
        <f t="shared" ref="G1894:K1894" si="1238">G1895</f>
        <v>9.9885380021564787E-2</v>
      </c>
      <c r="H1894" s="1">
        <f t="shared" si="1238"/>
        <v>9.9886728457031698E-2</v>
      </c>
      <c r="I1894" s="1">
        <f t="shared" si="1238"/>
        <v>0.11997219371440282</v>
      </c>
      <c r="J1894" s="1">
        <f t="shared" si="1238"/>
        <v>0.16872270120717997</v>
      </c>
      <c r="K1894" s="1">
        <f t="shared" si="1238"/>
        <v>0.2168036745333777</v>
      </c>
    </row>
    <row r="1895" spans="2:11" x14ac:dyDescent="0.35">
      <c r="B1895" s="5" t="str">
        <f t="shared" si="1164"/>
        <v>SPS3</v>
      </c>
      <c r="C1895" s="5" t="str">
        <f t="shared" ref="C1895" si="1239">C1894</f>
        <v>CH</v>
      </c>
      <c r="D1895" t="s">
        <v>1916</v>
      </c>
      <c r="E1895" t="str">
        <f t="shared" si="1225"/>
        <v>GWth/yr.</v>
      </c>
      <c r="F1895" s="1" cm="1">
        <f t="array" ref="F1895">SUMPRODUCT(([1]OUT_FinalEnergyCons!$B$4:$B$10000="Var_cap")*1, (ISNUMBER(SEARCH("SCOM-SHSOLBR",[1]OUT_FinalEnergyCons!$A$4:$A$10000)))*1,[1]OUT_FinalEnergyCons!D$4:D$10000)</f>
        <v>9.1092387348968268E-2</v>
      </c>
      <c r="G1895" s="1" cm="1">
        <f t="array" ref="G1895">SUMPRODUCT(([1]OUT_FinalEnergyCons!$B$4:$B$10000="Var_cap")*1, (ISNUMBER(SEARCH("SCOM-SHSOLBR",[1]OUT_FinalEnergyCons!$A$4:$A$10000)))*1,[1]OUT_FinalEnergyCons!E$4:E$10000)</f>
        <v>9.9885380021564787E-2</v>
      </c>
      <c r="H1895" s="1" cm="1">
        <f t="array" ref="H1895">SUMPRODUCT(([1]OUT_FinalEnergyCons!$B$4:$B$10000="Var_cap")*1, (ISNUMBER(SEARCH("SCOM-SHSOLBR",[1]OUT_FinalEnergyCons!$A$4:$A$10000)))*1,[1]OUT_FinalEnergyCons!F$4:F$10000)</f>
        <v>9.9886728457031698E-2</v>
      </c>
      <c r="I1895" s="1" cm="1">
        <f t="array" ref="I1895">SUMPRODUCT(([1]OUT_FinalEnergyCons!$B$4:$B$10000="Var_cap")*1, (ISNUMBER(SEARCH("SCOM-SHSOLBR",[1]OUT_FinalEnergyCons!$A$4:$A$10000)))*1,[1]OUT_FinalEnergyCons!G$4:G$10000)</f>
        <v>0.11997219371440282</v>
      </c>
      <c r="J1895" s="1" cm="1">
        <f t="array" ref="J1895">SUMPRODUCT(([1]OUT_FinalEnergyCons!$B$4:$B$10000="Var_cap")*1, (ISNUMBER(SEARCH("SCOM-SHSOLBR",[1]OUT_FinalEnergyCons!$A$4:$A$10000)))*1,[1]OUT_FinalEnergyCons!H$4:H$10000)</f>
        <v>0.16872270120717997</v>
      </c>
      <c r="K1895" s="1" cm="1">
        <f t="array" ref="K1895">SUMPRODUCT(([1]OUT_FinalEnergyCons!$B$4:$B$10000="Var_cap")*1, (ISNUMBER(SEARCH("SCOM-SHSOLBR",[1]OUT_FinalEnergyCons!$A$4:$A$10000)))*1,[1]OUT_FinalEnergyCons!I$4:I$10000)</f>
        <v>0.2168036745333777</v>
      </c>
    </row>
    <row r="1896" spans="2:11" x14ac:dyDescent="0.35">
      <c r="B1896" s="5" t="str">
        <f t="shared" si="1164"/>
        <v>SPS3</v>
      </c>
      <c r="C1896" s="5" t="str">
        <f t="shared" ref="C1896" si="1240">C1895</f>
        <v>CH</v>
      </c>
      <c r="D1896" t="s">
        <v>1917</v>
      </c>
      <c r="E1896" t="str">
        <f t="shared" si="1225"/>
        <v>GWth/yr.</v>
      </c>
      <c r="F1896" s="1">
        <f>F1897</f>
        <v>0</v>
      </c>
      <c r="G1896" s="1">
        <f t="shared" ref="G1896:K1896" si="1241">G1897</f>
        <v>0</v>
      </c>
      <c r="H1896" s="1">
        <f t="shared" si="1241"/>
        <v>0</v>
      </c>
      <c r="I1896" s="1">
        <f t="shared" si="1241"/>
        <v>1.8618984809383199E-6</v>
      </c>
      <c r="J1896" s="1">
        <f t="shared" si="1241"/>
        <v>1.4077994434440293</v>
      </c>
      <c r="K1896" s="1">
        <f t="shared" si="1241"/>
        <v>1.3095484709723675</v>
      </c>
    </row>
    <row r="1897" spans="2:11" x14ac:dyDescent="0.35">
      <c r="B1897" s="5" t="str">
        <f t="shared" si="1164"/>
        <v>SPS3</v>
      </c>
      <c r="C1897" s="5" t="str">
        <f t="shared" ref="C1897" si="1242">C1896</f>
        <v>CH</v>
      </c>
      <c r="D1897" t="s">
        <v>1918</v>
      </c>
      <c r="E1897" t="str">
        <f t="shared" si="1225"/>
        <v>GWth/yr.</v>
      </c>
      <c r="F1897" s="1" cm="1">
        <f t="array" ref="F1897">SUMPRODUCT(([1]OUT_FinalEnergyCons!$B$4:$B$10000="Var_cap")*1, (ISNUMBER(SEARCH("SCOM-SHH2BR",[1]OUT_FinalEnergyCons!$A$4:$A$10000)))*1,[1]OUT_FinalEnergyCons!D$4:D$10000)</f>
        <v>0</v>
      </c>
      <c r="G1897" s="1" cm="1">
        <f t="array" ref="G1897">SUMPRODUCT(([1]OUT_FinalEnergyCons!$B$4:$B$10000="Var_cap")*1, (ISNUMBER(SEARCH("SCOM-SHH2BR",[1]OUT_FinalEnergyCons!$A$4:$A$10000)))*1,[1]OUT_FinalEnergyCons!E$4:E$10000)</f>
        <v>0</v>
      </c>
      <c r="H1897" s="1" cm="1">
        <f t="array" ref="H1897">SUMPRODUCT(([1]OUT_FinalEnergyCons!$B$4:$B$10000="Var_cap")*1, (ISNUMBER(SEARCH("SCOM-SHH2BR",[1]OUT_FinalEnergyCons!$A$4:$A$10000)))*1,[1]OUT_FinalEnergyCons!F$4:F$10000)</f>
        <v>0</v>
      </c>
      <c r="I1897" s="1" cm="1">
        <f t="array" ref="I1897">SUMPRODUCT(([1]OUT_FinalEnergyCons!$B$4:$B$10000="Var_cap")*1, (ISNUMBER(SEARCH("SCOM-SHH2BR",[1]OUT_FinalEnergyCons!$A$4:$A$10000)))*1,[1]OUT_FinalEnergyCons!G$4:G$10000)</f>
        <v>1.8618984809383199E-6</v>
      </c>
      <c r="J1897" s="1" cm="1">
        <f t="array" ref="J1897">SUMPRODUCT(([1]OUT_FinalEnergyCons!$B$4:$B$10000="Var_cap")*1, (ISNUMBER(SEARCH("SCOM-SHH2BR",[1]OUT_FinalEnergyCons!$A$4:$A$10000)))*1,[1]OUT_FinalEnergyCons!H$4:H$10000)</f>
        <v>1.4077994434440293</v>
      </c>
      <c r="K1897" s="1" cm="1">
        <f t="array" ref="K1897">SUMPRODUCT(([1]OUT_FinalEnergyCons!$B$4:$B$10000="Var_cap")*1, (ISNUMBER(SEARCH("SCOM-SHH2BR",[1]OUT_FinalEnergyCons!$A$4:$A$10000)))*1,[1]OUT_FinalEnergyCons!I$4:I$10000)</f>
        <v>1.3095484709723675</v>
      </c>
    </row>
    <row r="1898" spans="2:11" x14ac:dyDescent="0.35">
      <c r="B1898" s="5" t="str">
        <f t="shared" si="1164"/>
        <v>SPS3</v>
      </c>
      <c r="C1898" s="5" t="str">
        <f>C1897</f>
        <v>CH</v>
      </c>
      <c r="D1898" s="2" t="s">
        <v>1921</v>
      </c>
      <c r="E1898" s="2" t="s">
        <v>1973</v>
      </c>
      <c r="F1898" s="3">
        <f>SUM(F1899:F1948)</f>
        <v>4.6765536563838408</v>
      </c>
      <c r="G1898" s="3">
        <f t="shared" ref="G1898:K1898" si="1243">SUM(G1899:G1948)</f>
        <v>4.8297798464384378</v>
      </c>
      <c r="H1898" s="3">
        <f t="shared" si="1243"/>
        <v>4.906263086020239</v>
      </c>
      <c r="I1898" s="3">
        <f t="shared" si="1243"/>
        <v>5.2133222814026103</v>
      </c>
      <c r="J1898" s="3">
        <f t="shared" si="1243"/>
        <v>5.5477681312467126</v>
      </c>
      <c r="K1898" s="3">
        <f t="shared" si="1243"/>
        <v>5.7561111515753245</v>
      </c>
    </row>
    <row r="1899" spans="2:11" x14ac:dyDescent="0.35">
      <c r="B1899" s="5" t="str">
        <f t="shared" si="1164"/>
        <v>SPS3</v>
      </c>
      <c r="C1899" s="5" t="str">
        <f t="shared" ref="C1899:C1948" si="1244">C1898</f>
        <v>CH</v>
      </c>
      <c r="D1899" t="s">
        <v>1922</v>
      </c>
      <c r="E1899" t="str">
        <f>E1898</f>
        <v>Million</v>
      </c>
      <c r="F1899" s="1" cm="1">
        <f t="array" ref="F1899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899" s="1" cm="1">
        <f t="array" ref="G1899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899" s="1" cm="1">
        <f t="array" ref="H1899">SUMPRODUCT(("Var_Cap"=[1]OUT_TransportEnergyCons!$B$4:$B$10000)*1,("-"=[1]OUT_TransportEnergyCons!$C$4:$C$10000)*1,ISNUMBER(SEARCH("T_C*bat*ext",[1]OUT_TransportEnergyCons!$A$4:$A$10000))*1,[1]OUT_TransportEnergyCons!F$4:F$10000)</f>
        <v>2.8026629783153394E-2</v>
      </c>
      <c r="I1899" s="1" cm="1">
        <f t="array" ref="I1899">SUMPRODUCT(("Var_Cap"=[1]OUT_TransportEnergyCons!$B$4:$B$10000)*1,("-"=[1]OUT_TransportEnergyCons!$C$4:$C$10000)*1,ISNUMBER(SEARCH("T_C*bat*ext",[1]OUT_TransportEnergyCons!$A$4:$A$10000))*1,[1]OUT_TransportEnergyCons!G$4:G$10000)</f>
        <v>1.4013312000685922E-2</v>
      </c>
      <c r="J1899" s="1" cm="1">
        <f t="array" ref="J1899">SUMPRODUCT(("Var_Cap"=[1]OUT_TransportEnergyCons!$B$4:$B$10000)*1,("-"=[1]OUT_TransportEnergyCons!$C$4:$C$10000)*1,ISNUMBER(SEARCH("T_C*bat*ext",[1]OUT_TransportEnergyCons!$A$4:$A$10000))*1,[1]OUT_TransportEnergyCons!H$4:H$10000)</f>
        <v>0</v>
      </c>
      <c r="K1899" s="1" cm="1">
        <f t="array" ref="K1899">SUMPRODUCT(("Var_Cap"=[1]OUT_TransportEnergyCons!$B$4:$B$10000)*1,("-"=[1]OUT_TransportEnergyCons!$C$4:$C$10000)*1,ISNUMBER(SEARCH("T_C*bat*ext",[1]OUT_TransportEnergyCons!$A$4:$A$10000))*1,[1]OUT_TransportEnergyCons!I$4:I$10000)</f>
        <v>0</v>
      </c>
    </row>
    <row r="1900" spans="2:11" x14ac:dyDescent="0.35">
      <c r="B1900" s="5" t="str">
        <f t="shared" si="1164"/>
        <v>SPS3</v>
      </c>
      <c r="C1900" s="5" t="str">
        <f t="shared" si="1244"/>
        <v>CH</v>
      </c>
      <c r="D1900" t="s">
        <v>1923</v>
      </c>
      <c r="E1900" t="str">
        <f t="shared" ref="E1900:E1948" si="1245">E1899</f>
        <v>Million</v>
      </c>
      <c r="F1900" s="1" cm="1">
        <f t="array" ref="F1900">SUMPRODUCT(("Var_Cap"=[1]OUT_TransportEnergyCons!$B$4:$B$10000)*1,("-"=[1]OUT_TransportEnergyCons!$C$4:$C$10000)*1,ISNUMBER(SEARCH("T_C*bat*s1",[1]OUT_TransportEnergyCons!$A$4:$A$10000))*1,[1]OUT_TransportEnergyCons!D$4:D$10000)</f>
        <v>1.6370231545952446E-3</v>
      </c>
      <c r="G1900" s="1" cm="1">
        <f t="array" ref="G1900">SUMPRODUCT(("Var_Cap"=[1]OUT_TransportEnergyCons!$B$4:$B$10000)*1,("-"=[1]OUT_TransportEnergyCons!$C$4:$C$10000)*1,ISNUMBER(SEARCH("T_C*bat*s1",[1]OUT_TransportEnergyCons!$A$4:$A$10000))*1,[1]OUT_TransportEnergyCons!E$4:E$10000)</f>
        <v>5.7392847216284678E-3</v>
      </c>
      <c r="H1900" s="1" cm="1">
        <f t="array" ref="H1900">SUMPRODUCT(("Var_Cap"=[1]OUT_TransportEnergyCons!$B$4:$B$10000)*1,("-"=[1]OUT_TransportEnergyCons!$C$4:$C$10000)*1,ISNUMBER(SEARCH("T_C*bat*s1",[1]OUT_TransportEnergyCons!$A$4:$A$10000))*1,[1]OUT_TransportEnergyCons!F$4:F$10000)</f>
        <v>7.1010872558029499E-3</v>
      </c>
      <c r="I1900" s="1" cm="1">
        <f t="array" ref="I1900">SUMPRODUCT(("Var_Cap"=[1]OUT_TransportEnergyCons!$B$4:$B$10000)*1,("-"=[1]OUT_TransportEnergyCons!$C$4:$C$10000)*1,ISNUMBER(SEARCH("T_C*bat*s1",[1]OUT_TransportEnergyCons!$A$4:$A$10000))*1,[1]OUT_TransportEnergyCons!G$4:G$10000)</f>
        <v>6.2491538337655327E-3</v>
      </c>
      <c r="J1900" s="1" cm="1">
        <f t="array" ref="J1900">SUMPRODUCT(("Var_Cap"=[1]OUT_TransportEnergyCons!$B$4:$B$10000)*1,("-"=[1]OUT_TransportEnergyCons!$C$4:$C$10000)*1,ISNUMBER(SEARCH("T_C*bat*s1",[1]OUT_TransportEnergyCons!$A$4:$A$10000))*1,[1]OUT_TransportEnergyCons!H$4:H$10000)</f>
        <v>1.0248721457321579E-3</v>
      </c>
      <c r="K1900" s="1" cm="1">
        <f t="array" ref="K1900">SUMPRODUCT(("Var_Cap"=[1]OUT_TransportEnergyCons!$B$4:$B$10000)*1,("-"=[1]OUT_TransportEnergyCons!$C$4:$C$10000)*1,ISNUMBER(SEARCH("T_C*bat*s1",[1]OUT_TransportEnergyCons!$A$4:$A$10000))*1,[1]OUT_TransportEnergyCons!I$4:I$10000)</f>
        <v>0.37172678342047305</v>
      </c>
    </row>
    <row r="1901" spans="2:11" x14ac:dyDescent="0.35">
      <c r="B1901" s="5" t="str">
        <f t="shared" si="1164"/>
        <v>SPS3</v>
      </c>
      <c r="C1901" s="5" t="str">
        <f t="shared" si="1244"/>
        <v>CH</v>
      </c>
      <c r="D1901" t="s">
        <v>1924</v>
      </c>
      <c r="E1901" t="str">
        <f t="shared" si="1245"/>
        <v>Million</v>
      </c>
      <c r="F1901" s="1" cm="1">
        <f t="array" ref="F1901">SUMPRODUCT(("Var_Cap"=[1]OUT_TransportEnergyCons!$B$4:$B$10000)*1,("-"=[1]OUT_TransportEnergyCons!$C$4:$C$10000)*1,ISNUMBER(SEARCH("T_C*bat*s2",[1]OUT_TransportEnergyCons!$A$4:$A$10000))*1,[1]OUT_TransportEnergyCons!D$4:D$10000)</f>
        <v>7.3832026623231618E-3</v>
      </c>
      <c r="G1901" s="1" cm="1">
        <f t="array" ref="G1901">SUMPRODUCT(("Var_Cap"=[1]OUT_TransportEnergyCons!$B$4:$B$10000)*1,("-"=[1]OUT_TransportEnergyCons!$C$4:$C$10000)*1,ISNUMBER(SEARCH("T_C*bat*s2",[1]OUT_TransportEnergyCons!$A$4:$A$10000))*1,[1]OUT_TransportEnergyCons!E$4:E$10000)</f>
        <v>1.171027937163519E-2</v>
      </c>
      <c r="H1901" s="1" cm="1">
        <f t="array" ref="H1901">SUMPRODUCT(("Var_Cap"=[1]OUT_TransportEnergyCons!$B$4:$B$10000)*1,("-"=[1]OUT_TransportEnergyCons!$C$4:$C$10000)*1,ISNUMBER(SEARCH("T_C*bat*s2",[1]OUT_TransportEnergyCons!$A$4:$A$10000))*1,[1]OUT_TransportEnergyCons!F$4:F$10000)</f>
        <v>1.4365771529368453E-2</v>
      </c>
      <c r="I1901" s="1" cm="1">
        <f t="array" ref="I1901">SUMPRODUCT(("Var_Cap"=[1]OUT_TransportEnergyCons!$B$4:$B$10000)*1,("-"=[1]OUT_TransportEnergyCons!$C$4:$C$10000)*1,ISNUMBER(SEARCH("T_C*bat*s2",[1]OUT_TransportEnergyCons!$A$4:$A$10000))*1,[1]OUT_TransportEnergyCons!G$4:G$10000)</f>
        <v>1.3483170984679394E-2</v>
      </c>
      <c r="J1901" s="1" cm="1">
        <f t="array" ref="J1901">SUMPRODUCT(("Var_Cap"=[1]OUT_TransportEnergyCons!$B$4:$B$10000)*1,("-"=[1]OUT_TransportEnergyCons!$C$4:$C$10000)*1,ISNUMBER(SEARCH("T_C*bat*s2",[1]OUT_TransportEnergyCons!$A$4:$A$10000))*1,[1]OUT_TransportEnergyCons!H$4:H$10000)</f>
        <v>1.5581659167150885</v>
      </c>
      <c r="K1901" s="1" cm="1">
        <f t="array" ref="K1901">SUMPRODUCT(("Var_Cap"=[1]OUT_TransportEnergyCons!$B$4:$B$10000)*1,("-"=[1]OUT_TransportEnergyCons!$C$4:$C$10000)*1,ISNUMBER(SEARCH("T_C*bat*s2",[1]OUT_TransportEnergyCons!$A$4:$A$10000))*1,[1]OUT_TransportEnergyCons!I$4:I$10000)</f>
        <v>1.9033485129480139</v>
      </c>
    </row>
    <row r="1902" spans="2:11" x14ac:dyDescent="0.35">
      <c r="B1902" s="5" t="str">
        <f t="shared" si="1164"/>
        <v>SPS3</v>
      </c>
      <c r="C1902" s="5" t="str">
        <f t="shared" si="1244"/>
        <v>CH</v>
      </c>
      <c r="D1902" t="s">
        <v>1925</v>
      </c>
      <c r="E1902" t="str">
        <f t="shared" si="1245"/>
        <v>Million</v>
      </c>
      <c r="F1902" s="1" cm="1">
        <f t="array" ref="F1902">SUMPRODUCT(("Var_Cap"=[1]OUT_TransportEnergyCons!$B$4:$B$10000)*1,("-"=[1]OUT_TransportEnergyCons!$C$4:$C$10000)*1,ISNUMBER(SEARCH("T_C*bat*s3",[1]OUT_TransportEnergyCons!$A$4:$A$10000))*1,[1]OUT_TransportEnergyCons!D$4:D$10000)</f>
        <v>4.3161324597073376E-3</v>
      </c>
      <c r="G1902" s="1" cm="1">
        <f t="array" ref="G1902">SUMPRODUCT(("Var_Cap"=[1]OUT_TransportEnergyCons!$B$4:$B$10000)*1,("-"=[1]OUT_TransportEnergyCons!$C$4:$C$10000)*1,ISNUMBER(SEARCH("T_C*bat*s3",[1]OUT_TransportEnergyCons!$A$4:$A$10000))*1,[1]OUT_TransportEnergyCons!E$4:E$10000)</f>
        <v>8.8096412447921588E-3</v>
      </c>
      <c r="H1902" s="1" cm="1">
        <f t="array" ref="H1902">SUMPRODUCT(("Var_Cap"=[1]OUT_TransportEnergyCons!$B$4:$B$10000)*1,("-"=[1]OUT_TransportEnergyCons!$C$4:$C$10000)*1,ISNUMBER(SEARCH("T_C*bat*s3",[1]OUT_TransportEnergyCons!$A$4:$A$10000))*1,[1]OUT_TransportEnergyCons!F$4:F$10000)</f>
        <v>1.0837336482986975E-2</v>
      </c>
      <c r="I1902" s="1" cm="1">
        <f t="array" ref="I1902">SUMPRODUCT(("Var_Cap"=[1]OUT_TransportEnergyCons!$B$4:$B$10000)*1,("-"=[1]OUT_TransportEnergyCons!$C$4:$C$10000)*1,ISNUMBER(SEARCH("T_C*bat*s3",[1]OUT_TransportEnergyCons!$A$4:$A$10000))*1,[1]OUT_TransportEnergyCons!G$4:G$10000)</f>
        <v>0.35246819305412186</v>
      </c>
      <c r="J1902" s="1" cm="1">
        <f t="array" ref="J1902">SUMPRODUCT(("Var_Cap"=[1]OUT_TransportEnergyCons!$B$4:$B$10000)*1,("-"=[1]OUT_TransportEnergyCons!$C$4:$C$10000)*1,ISNUMBER(SEARCH("T_C*bat*s3",[1]OUT_TransportEnergyCons!$A$4:$A$10000))*1,[1]OUT_TransportEnergyCons!H$4:H$10000)</f>
        <v>0.74894366623219377</v>
      </c>
      <c r="K1902" s="1" cm="1">
        <f t="array" ref="K1902">SUMPRODUCT(("Var_Cap"=[1]OUT_TransportEnergyCons!$B$4:$B$10000)*1,("-"=[1]OUT_TransportEnergyCons!$C$4:$C$10000)*1,ISNUMBER(SEARCH("T_C*bat*s3",[1]OUT_TransportEnergyCons!$A$4:$A$10000))*1,[1]OUT_TransportEnergyCons!I$4:I$10000)</f>
        <v>1.1441986654613199</v>
      </c>
    </row>
    <row r="1903" spans="2:11" x14ac:dyDescent="0.35">
      <c r="B1903" s="5" t="str">
        <f t="shared" si="1164"/>
        <v>SPS3</v>
      </c>
      <c r="C1903" s="5" t="str">
        <f t="shared" si="1244"/>
        <v>CH</v>
      </c>
      <c r="D1903" t="s">
        <v>1926</v>
      </c>
      <c r="E1903" t="str">
        <f t="shared" si="1245"/>
        <v>Million</v>
      </c>
      <c r="F1903" s="1" cm="1">
        <f t="array" ref="F1903">SUMPRODUCT(("Var_Cap"=[1]OUT_TransportEnergyCons!$B$4:$B$10000)*1,("-"=[1]OUT_TransportEnergyCons!$C$4:$C$10000)*1,ISNUMBER(SEARCH("T_C*bat*s4",[1]OUT_TransportEnergyCons!$A$4:$A$10000))*1,[1]OUT_TransportEnergyCons!D$4:D$10000)</f>
        <v>1.5375020684245781E-2</v>
      </c>
      <c r="G1903" s="1" cm="1">
        <f t="array" ref="G1903">SUMPRODUCT(("Var_Cap"=[1]OUT_TransportEnergyCons!$B$4:$B$10000)*1,("-"=[1]OUT_TransportEnergyCons!$C$4:$C$10000)*1,ISNUMBER(SEARCH("T_C*bat*s4",[1]OUT_TransportEnergyCons!$A$4:$A$10000))*1,[1]OUT_TransportEnergyCons!E$4:E$10000)</f>
        <v>0.10603937201187216</v>
      </c>
      <c r="H1903" s="1" cm="1">
        <f t="array" ref="H1903">SUMPRODUCT(("Var_Cap"=[1]OUT_TransportEnergyCons!$B$4:$B$10000)*1,("-"=[1]OUT_TransportEnergyCons!$C$4:$C$10000)*1,ISNUMBER(SEARCH("T_C*bat*s4",[1]OUT_TransportEnergyCons!$A$4:$A$10000))*1,[1]OUT_TransportEnergyCons!F$4:F$10000)</f>
        <v>0.36081718736731078</v>
      </c>
      <c r="I1903" s="1" cm="1">
        <f t="array" ref="I1903">SUMPRODUCT(("Var_Cap"=[1]OUT_TransportEnergyCons!$B$4:$B$10000)*1,("-"=[1]OUT_TransportEnergyCons!$C$4:$C$10000)*1,ISNUMBER(SEARCH("T_C*bat*s4",[1]OUT_TransportEnergyCons!$A$4:$A$10000))*1,[1]OUT_TransportEnergyCons!G$4:G$10000)</f>
        <v>0.3893013389926096</v>
      </c>
      <c r="J1903" s="1" cm="1">
        <f t="array" ref="J1903">SUMPRODUCT(("Var_Cap"=[1]OUT_TransportEnergyCons!$B$4:$B$10000)*1,("-"=[1]OUT_TransportEnergyCons!$C$4:$C$10000)*1,ISNUMBER(SEARCH("T_C*bat*s4",[1]OUT_TransportEnergyCons!$A$4:$A$10000))*1,[1]OUT_TransportEnergyCons!H$4:H$10000)</f>
        <v>1.5998715326410711</v>
      </c>
      <c r="K1903" s="1" cm="1">
        <f t="array" ref="K1903">SUMPRODUCT(("Var_Cap"=[1]OUT_TransportEnergyCons!$B$4:$B$10000)*1,("-"=[1]OUT_TransportEnergyCons!$C$4:$C$10000)*1,ISNUMBER(SEARCH("T_C*bat*s4",[1]OUT_TransportEnergyCons!$A$4:$A$10000))*1,[1]OUT_TransportEnergyCons!I$4:I$10000)</f>
        <v>2.1748258018992837</v>
      </c>
    </row>
    <row r="1904" spans="2:11" x14ac:dyDescent="0.35">
      <c r="B1904" s="5" t="str">
        <f t="shared" si="1164"/>
        <v>SPS3</v>
      </c>
      <c r="C1904" s="5" t="str">
        <f t="shared" si="1244"/>
        <v>CH</v>
      </c>
      <c r="D1904" t="s">
        <v>1927</v>
      </c>
      <c r="E1904" t="str">
        <f t="shared" si="1245"/>
        <v>Million</v>
      </c>
      <c r="F1904" s="1" cm="1">
        <f t="array" ref="F1904">SUMPRODUCT(("Var_Cap"=[1]OUT_TransportEnergyCons!$B$4:$B$10000)*1,("-"=[1]OUT_TransportEnergyCons!$C$4:$C$10000)*1,ISNUMBER(SEARCH("T_C*pev*GSL*s1",[1]OUT_TransportEnergyCons!$A$4:$A$10000))*1,[1]OUT_TransportEnergyCons!D$4:D$10000)</f>
        <v>2.5983909542420697E-5</v>
      </c>
      <c r="G1904" s="1" cm="1">
        <f t="array" ref="G1904">SUMPRODUCT(("Var_Cap"=[1]OUT_TransportEnergyCons!$B$4:$B$10000)*1,("-"=[1]OUT_TransportEnergyCons!$C$4:$C$10000)*1,ISNUMBER(SEARCH("T_C*pev*GSL*s1",[1]OUT_TransportEnergyCons!$A$4:$A$10000))*1,[1]OUT_TransportEnergyCons!E$4:E$10000)</f>
        <v>1.4884718138504424E-4</v>
      </c>
      <c r="H1904" s="1" cm="1">
        <f t="array" ref="H1904">SUMPRODUCT(("Var_Cap"=[1]OUT_TransportEnergyCons!$B$4:$B$10000)*1,("-"=[1]OUT_TransportEnergyCons!$C$4:$C$10000)*1,ISNUMBER(SEARCH("T_C*pev*GSL*s1",[1]OUT_TransportEnergyCons!$A$4:$A$10000))*1,[1]OUT_TransportEnergyCons!F$4:F$10000)</f>
        <v>3.0759876338091308E-4</v>
      </c>
      <c r="I1904" s="1" cm="1">
        <f t="array" ref="I1904">SUMPRODUCT(("Var_Cap"=[1]OUT_TransportEnergyCons!$B$4:$B$10000)*1,("-"=[1]OUT_TransportEnergyCons!$C$4:$C$10000)*1,ISNUMBER(SEARCH("T_C*pev*GSL*s1",[1]OUT_TransportEnergyCons!$A$4:$A$10000))*1,[1]OUT_TransportEnergyCons!G$4:G$10000)</f>
        <v>3.4992756819793172E-4</v>
      </c>
      <c r="J1904" s="1" cm="1">
        <f t="array" ref="J1904">SUMPRODUCT(("Var_Cap"=[1]OUT_TransportEnergyCons!$B$4:$B$10000)*1,("-"=[1]OUT_TransportEnergyCons!$C$4:$C$10000)*1,ISNUMBER(SEARCH("T_C*pev*GSL*s1",[1]OUT_TransportEnergyCons!$A$4:$A$10000))*1,[1]OUT_TransportEnergyCons!H$4:H$10000)</f>
        <v>2.3999473352006204E-4</v>
      </c>
      <c r="K1904" s="1" cm="1">
        <f t="array" ref="K1904">SUMPRODUCT(("Var_Cap"=[1]OUT_TransportEnergyCons!$B$4:$B$10000)*1,("-"=[1]OUT_TransportEnergyCons!$C$4:$C$10000)*1,ISNUMBER(SEARCH("T_C*pev*GSL*s1",[1]OUT_TransportEnergyCons!$A$4:$A$10000))*1,[1]OUT_TransportEnergyCons!I$4:I$10000)</f>
        <v>9.2936322740792444E-5</v>
      </c>
    </row>
    <row r="1905" spans="2:11" x14ac:dyDescent="0.35">
      <c r="B1905" s="5" t="str">
        <f t="shared" si="1164"/>
        <v>SPS3</v>
      </c>
      <c r="C1905" s="5" t="str">
        <f t="shared" si="1244"/>
        <v>CH</v>
      </c>
      <c r="D1905" t="s">
        <v>1928</v>
      </c>
      <c r="E1905" t="str">
        <f t="shared" si="1245"/>
        <v>Million</v>
      </c>
      <c r="F1905" s="1" cm="1">
        <f t="array" ref="F1905">SUMPRODUCT(("Var_Cap"=[1]OUT_TransportEnergyCons!$B$4:$B$10000)*1,("-"=[1]OUT_TransportEnergyCons!$C$4:$C$10000)*1,ISNUMBER(SEARCH("T_C*pev*GSL*s2",[1]OUT_TransportEnergyCons!$A$4:$A$10000))*1,[1]OUT_TransportEnergyCons!D$4:D$10000)</f>
        <v>4.8843439683753645E-3</v>
      </c>
      <c r="G1905" s="1" cm="1">
        <f t="array" ref="G1905">SUMPRODUCT(("Var_Cap"=[1]OUT_TransportEnergyCons!$B$4:$B$10000)*1,("-"=[1]OUT_TransportEnergyCons!$C$4:$C$10000)*1,ISNUMBER(SEARCH("T_C*pev*GSL*s2",[1]OUT_TransportEnergyCons!$A$4:$A$10000))*1,[1]OUT_TransportEnergyCons!E$4:E$10000)</f>
        <v>7.5389044788991607E-3</v>
      </c>
      <c r="H1905" s="1" cm="1">
        <f t="array" ref="H1905">SUMPRODUCT(("Var_Cap"=[1]OUT_TransportEnergyCons!$B$4:$B$10000)*1,("-"=[1]OUT_TransportEnergyCons!$C$4:$C$10000)*1,ISNUMBER(SEARCH("T_C*pev*GSL*s2",[1]OUT_TransportEnergyCons!$A$4:$A$10000))*1,[1]OUT_TransportEnergyCons!F$4:F$10000)</f>
        <v>7.421079984045992E-3</v>
      </c>
      <c r="I1905" s="1" cm="1">
        <f t="array" ref="I1905">SUMPRODUCT(("Var_Cap"=[1]OUT_TransportEnergyCons!$B$4:$B$10000)*1,("-"=[1]OUT_TransportEnergyCons!$C$4:$C$10000)*1,ISNUMBER(SEARCH("T_C*pev*GSL*s2",[1]OUT_TransportEnergyCons!$A$4:$A$10000))*1,[1]OUT_TransportEnergyCons!G$4:G$10000)</f>
        <v>6.1660676453460335E-3</v>
      </c>
      <c r="J1905" s="1" cm="1">
        <f t="array" ref="J1905">SUMPRODUCT(("Var_Cap"=[1]OUT_TransportEnergyCons!$B$4:$B$10000)*1,("-"=[1]OUT_TransportEnergyCons!$C$4:$C$10000)*1,ISNUMBER(SEARCH("T_C*pev*GSL*s2",[1]OUT_TransportEnergyCons!$A$4:$A$10000))*1,[1]OUT_TransportEnergyCons!H$4:H$10000)</f>
        <v>4.6275242690813881E-4</v>
      </c>
      <c r="K1905" s="1" cm="1">
        <f t="array" ref="K1905">SUMPRODUCT(("Var_Cap"=[1]OUT_TransportEnergyCons!$B$4:$B$10000)*1,("-"=[1]OUT_TransportEnergyCons!$C$4:$C$10000)*1,ISNUMBER(SEARCH("T_C*pev*GSL*s2",[1]OUT_TransportEnergyCons!$A$4:$A$10000))*1,[1]OUT_TransportEnergyCons!I$4:I$10000)</f>
        <v>1.2819977572245053E-4</v>
      </c>
    </row>
    <row r="1906" spans="2:11" x14ac:dyDescent="0.35">
      <c r="B1906" s="5" t="str">
        <f t="shared" si="1164"/>
        <v>SPS3</v>
      </c>
      <c r="C1906" s="5" t="str">
        <f t="shared" si="1244"/>
        <v>CH</v>
      </c>
      <c r="D1906" t="s">
        <v>1929</v>
      </c>
      <c r="E1906" t="str">
        <f t="shared" si="1245"/>
        <v>Million</v>
      </c>
      <c r="F1906" s="1" cm="1">
        <f t="array" ref="F1906">SUMPRODUCT(("Var_Cap"=[1]OUT_TransportEnergyCons!$B$4:$B$10000)*1,("-"=[1]OUT_TransportEnergyCons!$C$4:$C$10000)*1,ISNUMBER(SEARCH("T_C*pev*GSL*s3",[1]OUT_TransportEnergyCons!$A$4:$A$10000))*1,[1]OUT_TransportEnergyCons!D$4:D$10000)</f>
        <v>4.0676881864281636E-3</v>
      </c>
      <c r="G1906" s="1" cm="1">
        <f t="array" ref="G1906">SUMPRODUCT(("Var_Cap"=[1]OUT_TransportEnergyCons!$B$4:$B$10000)*1,("-"=[1]OUT_TransportEnergyCons!$C$4:$C$10000)*1,ISNUMBER(SEARCH("T_C*pev*GSL*s3",[1]OUT_TransportEnergyCons!$A$4:$A$10000))*1,[1]OUT_TransportEnergyCons!E$4:E$10000)</f>
        <v>4.5759190023560506E-2</v>
      </c>
      <c r="H1906" s="1" cm="1">
        <f t="array" ref="H1906">SUMPRODUCT(("Var_Cap"=[1]OUT_TransportEnergyCons!$B$4:$B$10000)*1,("-"=[1]OUT_TransportEnergyCons!$C$4:$C$10000)*1,ISNUMBER(SEARCH("T_C*pev*GSL*s3",[1]OUT_TransportEnergyCons!$A$4:$A$10000))*1,[1]OUT_TransportEnergyCons!F$4:F$10000)</f>
        <v>8.1677990592701158E-2</v>
      </c>
      <c r="I1906" s="1" cm="1">
        <f t="array" ref="I1906">SUMPRODUCT(("Var_Cap"=[1]OUT_TransportEnergyCons!$B$4:$B$10000)*1,("-"=[1]OUT_TransportEnergyCons!$C$4:$C$10000)*1,ISNUMBER(SEARCH("T_C*pev*GSL*s3",[1]OUT_TransportEnergyCons!$A$4:$A$10000))*1,[1]OUT_TransportEnergyCons!G$4:G$10000)</f>
        <v>6.947016907983293E-2</v>
      </c>
      <c r="J1906" s="1" cm="1">
        <f t="array" ref="J1906">SUMPRODUCT(("Var_Cap"=[1]OUT_TransportEnergyCons!$B$4:$B$10000)*1,("-"=[1]OUT_TransportEnergyCons!$C$4:$C$10000)*1,ISNUMBER(SEARCH("T_C*pev*GSL*s3",[1]OUT_TransportEnergyCons!$A$4:$A$10000))*1,[1]OUT_TransportEnergyCons!H$4:H$10000)</f>
        <v>0.32715189486728857</v>
      </c>
      <c r="K1906" s="1" cm="1">
        <f t="array" ref="K1906">SUMPRODUCT(("Var_Cap"=[1]OUT_TransportEnergyCons!$B$4:$B$10000)*1,("-"=[1]OUT_TransportEnergyCons!$C$4:$C$10000)*1,ISNUMBER(SEARCH("T_C*pev*GSL*s3",[1]OUT_TransportEnergyCons!$A$4:$A$10000))*1,[1]OUT_TransportEnergyCons!I$4:I$10000)</f>
        <v>9.4820076062477471E-2</v>
      </c>
    </row>
    <row r="1907" spans="2:11" x14ac:dyDescent="0.35">
      <c r="B1907" s="5" t="str">
        <f t="shared" si="1164"/>
        <v>SPS3</v>
      </c>
      <c r="C1907" s="5" t="str">
        <f t="shared" si="1244"/>
        <v>CH</v>
      </c>
      <c r="D1907" t="s">
        <v>1930</v>
      </c>
      <c r="E1907" t="str">
        <f t="shared" si="1245"/>
        <v>Million</v>
      </c>
      <c r="F1907" s="1" cm="1">
        <f t="array" ref="F1907">SUMPRODUCT(("Var_Cap"=[1]OUT_TransportEnergyCons!$B$4:$B$10000)*1,("-"=[1]OUT_TransportEnergyCons!$C$4:$C$10000)*1,ISNUMBER(SEARCH("T_C*pev*GSL*s4",[1]OUT_TransportEnergyCons!$A$4:$A$10000))*1,[1]OUT_TransportEnergyCons!D$4:D$10000)</f>
        <v>7.2616730028859057E-3</v>
      </c>
      <c r="G1907" s="1" cm="1">
        <f t="array" ref="G1907">SUMPRODUCT(("Var_Cap"=[1]OUT_TransportEnergyCons!$B$4:$B$10000)*1,("-"=[1]OUT_TransportEnergyCons!$C$4:$C$10000)*1,ISNUMBER(SEARCH("T_C*pev*GSL*s4",[1]OUT_TransportEnergyCons!$A$4:$A$10000))*1,[1]OUT_TransportEnergyCons!E$4:E$10000)</f>
        <v>1.291610827625931E-2</v>
      </c>
      <c r="H1907" s="1" cm="1">
        <f t="array" ref="H1907">SUMPRODUCT(("Var_Cap"=[1]OUT_TransportEnergyCons!$B$4:$B$10000)*1,("-"=[1]OUT_TransportEnergyCons!$C$4:$C$10000)*1,ISNUMBER(SEARCH("T_C*pev*GSL*s4",[1]OUT_TransportEnergyCons!$A$4:$A$10000))*1,[1]OUT_TransportEnergyCons!F$4:F$10000)</f>
        <v>1.2763886533357451E-2</v>
      </c>
      <c r="I1907" s="1" cm="1">
        <f t="array" ref="I1907">SUMPRODUCT(("Var_Cap"=[1]OUT_TransportEnergyCons!$B$4:$B$10000)*1,("-"=[1]OUT_TransportEnergyCons!$C$4:$C$10000)*1,ISNUMBER(SEARCH("T_C*pev*GSL*s4",[1]OUT_TransportEnergyCons!$A$4:$A$10000))*1,[1]OUT_TransportEnergyCons!G$4:G$10000)</f>
        <v>1.0515123143179501E-2</v>
      </c>
      <c r="J1907" s="1" cm="1">
        <f t="array" ref="J1907">SUMPRODUCT(("Var_Cap"=[1]OUT_TransportEnergyCons!$B$4:$B$10000)*1,("-"=[1]OUT_TransportEnergyCons!$C$4:$C$10000)*1,ISNUMBER(SEARCH("T_C*pev*GSL*s4",[1]OUT_TransportEnergyCons!$A$4:$A$10000))*1,[1]OUT_TransportEnergyCons!H$4:H$10000)</f>
        <v>7.555842166229919E-4</v>
      </c>
      <c r="K1907" s="1" cm="1">
        <f t="array" ref="K1907">SUMPRODUCT(("Var_Cap"=[1]OUT_TransportEnergyCons!$B$4:$B$10000)*1,("-"=[1]OUT_TransportEnergyCons!$C$4:$C$10000)*1,ISNUMBER(SEARCH("T_C*pev*GSL*s4",[1]OUT_TransportEnergyCons!$A$4:$A$10000))*1,[1]OUT_TransportEnergyCons!I$4:I$10000)</f>
        <v>2.0416977585236478E-4</v>
      </c>
    </row>
    <row r="1908" spans="2:11" x14ac:dyDescent="0.35">
      <c r="B1908" s="5" t="str">
        <f t="shared" ref="B1908:B1971" si="1246">B1907</f>
        <v>SPS3</v>
      </c>
      <c r="C1908" s="5" t="str">
        <f t="shared" si="1244"/>
        <v>CH</v>
      </c>
      <c r="D1908" t="s">
        <v>1931</v>
      </c>
      <c r="E1908" t="str">
        <f t="shared" si="1245"/>
        <v>Million</v>
      </c>
      <c r="F1908" s="1" cm="1">
        <f t="array" ref="F1908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08" s="1" cm="1">
        <f t="array" ref="G1908">SUMPRODUCT(("Var_Cap"=[1]OUT_TransportEnergyCons!$B$4:$B$10000)*1,("-"=[1]OUT_TransportEnergyCons!$C$4:$C$10000)*1,ISNUMBER(SEARCH("T_C*pev*dsl*s1",[1]OUT_TransportEnergyCons!$A$4:$A$10000))*1,[1]OUT_TransportEnergyCons!E$4:E$10000)</f>
        <v>1.27281996095281E-4</v>
      </c>
      <c r="H1908" s="1" cm="1">
        <f t="array" ref="H1908">SUMPRODUCT(("Var_Cap"=[1]OUT_TransportEnergyCons!$B$4:$B$10000)*1,("-"=[1]OUT_TransportEnergyCons!$C$4:$C$10000)*1,ISNUMBER(SEARCH("T_C*pev*dsl*s1",[1]OUT_TransportEnergyCons!$A$4:$A$10000))*1,[1]OUT_TransportEnergyCons!F$4:F$10000)</f>
        <v>2.8430695780677683E-4</v>
      </c>
      <c r="I1908" s="1" cm="1">
        <f t="array" ref="I1908">SUMPRODUCT(("Var_Cap"=[1]OUT_TransportEnergyCons!$B$4:$B$10000)*1,("-"=[1]OUT_TransportEnergyCons!$C$4:$C$10000)*1,ISNUMBER(SEARCH("T_C*pev*dsl*s1",[1]OUT_TransportEnergyCons!$A$4:$A$10000))*1,[1]OUT_TransportEnergyCons!G$4:G$10000)</f>
        <v>3.3701508370013333E-4</v>
      </c>
      <c r="J1908" s="1" cm="1">
        <f t="array" ref="J1908">SUMPRODUCT(("Var_Cap"=[1]OUT_TransportEnergyCons!$B$4:$B$10000)*1,("-"=[1]OUT_TransportEnergyCons!$C$4:$C$10000)*1,ISNUMBER(SEARCH("T_C*pev*dsl*s1",[1]OUT_TransportEnergyCons!$A$4:$A$10000))*1,[1]OUT_TransportEnergyCons!H$4:H$10000)</f>
        <v>2.3887195732792262E-4</v>
      </c>
      <c r="K1908" s="1" cm="1">
        <f t="array" ref="K1908">SUMPRODUCT(("Var_Cap"=[1]OUT_TransportEnergyCons!$B$4:$B$10000)*1,("-"=[1]OUT_TransportEnergyCons!$C$4:$C$10000)*1,ISNUMBER(SEARCH("T_C*pev*dsl*s1",[1]OUT_TransportEnergyCons!$A$4:$A$10000))*1,[1]OUT_TransportEnergyCons!I$4:I$10000)</f>
        <v>8.7783045677970476E-5</v>
      </c>
    </row>
    <row r="1909" spans="2:11" x14ac:dyDescent="0.35">
      <c r="B1909" s="5" t="str">
        <f t="shared" si="1246"/>
        <v>SPS3</v>
      </c>
      <c r="C1909" s="5" t="str">
        <f t="shared" si="1244"/>
        <v>CH</v>
      </c>
      <c r="D1909" t="s">
        <v>1932</v>
      </c>
      <c r="E1909" t="str">
        <f t="shared" si="1245"/>
        <v>Million</v>
      </c>
      <c r="F1909" s="1" cm="1">
        <f t="array" ref="F1909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09" s="1" cm="1">
        <f t="array" ref="G1909">SUMPRODUCT(("Var_Cap"=[1]OUT_TransportEnergyCons!$B$4:$B$10000)*1,("-"=[1]OUT_TransportEnergyCons!$C$4:$C$10000)*1,ISNUMBER(SEARCH("T_C*pev*dsl*s2",[1]OUT_TransportEnergyCons!$A$4:$A$10000))*1,[1]OUT_TransportEnergyCons!E$4:E$10000)</f>
        <v>9.2590868782913956E-5</v>
      </c>
      <c r="H1909" s="1" cm="1">
        <f t="array" ref="H1909">SUMPRODUCT(("Var_Cap"=[1]OUT_TransportEnergyCons!$B$4:$B$10000)*1,("-"=[1]OUT_TransportEnergyCons!$C$4:$C$10000)*1,ISNUMBER(SEARCH("T_C*pev*dsl*s2",[1]OUT_TransportEnergyCons!$A$4:$A$10000))*1,[1]OUT_TransportEnergyCons!F$4:F$10000)</f>
        <v>2.8195842598761266E-4</v>
      </c>
      <c r="I1909" s="1" cm="1">
        <f t="array" ref="I1909">SUMPRODUCT(("Var_Cap"=[1]OUT_TransportEnergyCons!$B$4:$B$10000)*1,("-"=[1]OUT_TransportEnergyCons!$C$4:$C$10000)*1,ISNUMBER(SEARCH("T_C*pev*dsl*s2",[1]OUT_TransportEnergyCons!$A$4:$A$10000))*1,[1]OUT_TransportEnergyCons!G$4:G$10000)</f>
        <v>3.9239359711339394E-4</v>
      </c>
      <c r="J1909" s="1" cm="1">
        <f t="array" ref="J1909">SUMPRODUCT(("Var_Cap"=[1]OUT_TransportEnergyCons!$B$4:$B$10000)*1,("-"=[1]OUT_TransportEnergyCons!$C$4:$C$10000)*1,ISNUMBER(SEARCH("T_C*pev*dsl*s2",[1]OUT_TransportEnergyCons!$A$4:$A$10000))*1,[1]OUT_TransportEnergyCons!H$4:H$10000)</f>
        <v>4.8222536840380179E-4</v>
      </c>
      <c r="K1909" s="1" cm="1">
        <f t="array" ref="K1909">SUMPRODUCT(("Var_Cap"=[1]OUT_TransportEnergyCons!$B$4:$B$10000)*1,("-"=[1]OUT_TransportEnergyCons!$C$4:$C$10000)*1,ISNUMBER(SEARCH("T_C*pev*dsl*s2",[1]OUT_TransportEnergyCons!$A$4:$A$10000))*1,[1]OUT_TransportEnergyCons!I$4:I$10000)</f>
        <v>1.2120823352071117E-4</v>
      </c>
    </row>
    <row r="1910" spans="2:11" x14ac:dyDescent="0.35">
      <c r="B1910" s="5" t="str">
        <f t="shared" si="1246"/>
        <v>SPS3</v>
      </c>
      <c r="C1910" s="5" t="str">
        <f t="shared" si="1244"/>
        <v>CH</v>
      </c>
      <c r="D1910" t="s">
        <v>1933</v>
      </c>
      <c r="E1910" t="str">
        <f t="shared" si="1245"/>
        <v>Million</v>
      </c>
      <c r="F1910" s="1" cm="1">
        <f t="array" ref="F1910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0" s="1" cm="1">
        <f t="array" ref="G1910">SUMPRODUCT(("Var_Cap"=[1]OUT_TransportEnergyCons!$B$4:$B$10000)*1,("-"=[1]OUT_TransportEnergyCons!$C$4:$C$10000)*1,ISNUMBER(SEARCH("T_C*pev*dsl*s3",[1]OUT_TransportEnergyCons!$A$4:$A$10000))*1,[1]OUT_TransportEnergyCons!E$4:E$10000)</f>
        <v>7.3518595668175494E-4</v>
      </c>
      <c r="H1910" s="1" cm="1">
        <f t="array" ref="H1910">SUMPRODUCT(("Var_Cap"=[1]OUT_TransportEnergyCons!$B$4:$B$10000)*1,("-"=[1]OUT_TransportEnergyCons!$C$4:$C$10000)*1,ISNUMBER(SEARCH("T_C*pev*dsl*s3",[1]OUT_TransportEnergyCons!$A$4:$A$10000))*1,[1]OUT_TransportEnergyCons!F$4:F$10000)</f>
        <v>6.6894157553050365E-2</v>
      </c>
      <c r="I1910" s="1" cm="1">
        <f t="array" ref="I1910">SUMPRODUCT(("Var_Cap"=[1]OUT_TransportEnergyCons!$B$4:$B$10000)*1,("-"=[1]OUT_TransportEnergyCons!$C$4:$C$10000)*1,ISNUMBER(SEARCH("T_C*pev*dsl*s3",[1]OUT_TransportEnergyCons!$A$4:$A$10000))*1,[1]OUT_TransportEnergyCons!G$4:G$10000)</f>
        <v>0.20168692136774044</v>
      </c>
      <c r="J1910" s="1" cm="1">
        <f t="array" ref="J1910">SUMPRODUCT(("Var_Cap"=[1]OUT_TransportEnergyCons!$B$4:$B$10000)*1,("-"=[1]OUT_TransportEnergyCons!$C$4:$C$10000)*1,ISNUMBER(SEARCH("T_C*pev*dsl*s3",[1]OUT_TransportEnergyCons!$A$4:$A$10000))*1,[1]OUT_TransportEnergyCons!H$4:H$10000)</f>
        <v>0.28878827210731445</v>
      </c>
      <c r="K1910" s="1" cm="1">
        <f t="array" ref="K1910">SUMPRODUCT(("Var_Cap"=[1]OUT_TransportEnergyCons!$B$4:$B$10000)*1,("-"=[1]OUT_TransportEnergyCons!$C$4:$C$10000)*1,ISNUMBER(SEARCH("T_C*pev*dsl*s3",[1]OUT_TransportEnergyCons!$A$4:$A$10000))*1,[1]OUT_TransportEnergyCons!I$4:I$10000)</f>
        <v>6.6095067642137559E-2</v>
      </c>
    </row>
    <row r="1911" spans="2:11" x14ac:dyDescent="0.35">
      <c r="B1911" s="5" t="str">
        <f t="shared" si="1246"/>
        <v>SPS3</v>
      </c>
      <c r="C1911" s="5" t="str">
        <f t="shared" si="1244"/>
        <v>CH</v>
      </c>
      <c r="D1911" t="s">
        <v>1934</v>
      </c>
      <c r="E1911" t="str">
        <f t="shared" si="1245"/>
        <v>Million</v>
      </c>
      <c r="F1911" s="1" cm="1">
        <f t="array" ref="F1911">SUMPRODUCT(("Var_Cap"=[1]OUT_TransportEnergyCons!$B$4:$B$10000)*1,("-"=[1]OUT_TransportEnergyCons!$C$4:$C$10000)*1,ISNUMBER(SEARCH("T_C*pev*dsl*s4",[1]OUT_TransportEnergyCons!$A$4:$A$10000))*1,[1]OUT_TransportEnergyCons!D$4:D$10000)</f>
        <v>2.5895095420301872E-4</v>
      </c>
      <c r="G1911" s="1" cm="1">
        <f t="array" ref="G1911">SUMPRODUCT(("Var_Cap"=[1]OUT_TransportEnergyCons!$B$4:$B$10000)*1,("-"=[1]OUT_TransportEnergyCons!$C$4:$C$10000)*1,ISNUMBER(SEARCH("T_C*pev*dsl*s4",[1]OUT_TransportEnergyCons!$A$4:$A$10000))*1,[1]OUT_TransportEnergyCons!E$4:E$10000)</f>
        <v>1.018274031752632E-3</v>
      </c>
      <c r="H1911" s="1" cm="1">
        <f t="array" ref="H1911">SUMPRODUCT(("Var_Cap"=[1]OUT_TransportEnergyCons!$B$4:$B$10000)*1,("-"=[1]OUT_TransportEnergyCons!$C$4:$C$10000)*1,ISNUMBER(SEARCH("T_C*pev*dsl*s4",[1]OUT_TransportEnergyCons!$A$4:$A$10000))*1,[1]OUT_TransportEnergyCons!F$4:F$10000)</f>
        <v>1.4128252238920071E-3</v>
      </c>
      <c r="I1911" s="1" cm="1">
        <f t="array" ref="I1911">SUMPRODUCT(("Var_Cap"=[1]OUT_TransportEnergyCons!$B$4:$B$10000)*1,("-"=[1]OUT_TransportEnergyCons!$C$4:$C$10000)*1,ISNUMBER(SEARCH("T_C*pev*dsl*s4",[1]OUT_TransportEnergyCons!$A$4:$A$10000))*1,[1]OUT_TransportEnergyCons!G$4:G$10000)</f>
        <v>1.5234033845888545E-3</v>
      </c>
      <c r="J1911" s="1" cm="1">
        <f t="array" ref="J1911">SUMPRODUCT(("Var_Cap"=[1]OUT_TransportEnergyCons!$B$4:$B$10000)*1,("-"=[1]OUT_TransportEnergyCons!$C$4:$C$10000)*1,ISNUMBER(SEARCH("T_C*pev*dsl*s4",[1]OUT_TransportEnergyCons!$A$4:$A$10000))*1,[1]OUT_TransportEnergyCons!H$4:H$10000)</f>
        <v>7.2579386524578189E-4</v>
      </c>
      <c r="K1911" s="1" cm="1">
        <f t="array" ref="K1911">SUMPRODUCT(("Var_Cap"=[1]OUT_TransportEnergyCons!$B$4:$B$10000)*1,("-"=[1]OUT_TransportEnergyCons!$C$4:$C$10000)*1,ISNUMBER(SEARCH("T_C*pev*dsl*s4",[1]OUT_TransportEnergyCons!$A$4:$A$10000))*1,[1]OUT_TransportEnergyCons!I$4:I$10000)</f>
        <v>1.835463601610828E-4</v>
      </c>
    </row>
    <row r="1912" spans="2:11" x14ac:dyDescent="0.35">
      <c r="B1912" s="5" t="str">
        <f t="shared" si="1246"/>
        <v>SPS3</v>
      </c>
      <c r="C1912" s="5" t="str">
        <f t="shared" si="1244"/>
        <v>CH</v>
      </c>
      <c r="D1912" t="s">
        <v>1935</v>
      </c>
      <c r="E1912" t="str">
        <f t="shared" si="1245"/>
        <v>Million</v>
      </c>
      <c r="F1912" s="1" cm="1">
        <f t="array" ref="F1912">SUMPRODUCT(("Var_Cap"=[1]OUT_TransportEnergyCons!$B$4:$B$10000)*1,("-"=[1]OUT_TransportEnergyCons!$C$4:$C$10000)*1,ISNUMBER(SEARCH("T_C*h2o*s1",[1]OUT_TransportEnergyCons!$A$4:$A$10000))*1,[1]OUT_TransportEnergyCons!D$4:D$10000)</f>
        <v>0</v>
      </c>
      <c r="G1912" s="1" cm="1">
        <f t="array" ref="G1912">SUMPRODUCT(("Var_Cap"=[1]OUT_TransportEnergyCons!$B$4:$B$10000)*1,("-"=[1]OUT_TransportEnergyCons!$C$4:$C$10000)*1,ISNUMBER(SEARCH("T_C*h2o*s1",[1]OUT_TransportEnergyCons!$A$4:$A$10000))*1,[1]OUT_TransportEnergyCons!E$4:E$10000)</f>
        <v>7.6255147099522802E-6</v>
      </c>
      <c r="H1912" s="1" cm="1">
        <f t="array" ref="H1912">SUMPRODUCT(("Var_Cap"=[1]OUT_TransportEnergyCons!$B$4:$B$10000)*1,("-"=[1]OUT_TransportEnergyCons!$C$4:$C$10000)*1,ISNUMBER(SEARCH("T_C*h2o*s1",[1]OUT_TransportEnergyCons!$A$4:$A$10000))*1,[1]OUT_TransportEnergyCons!F$4:F$10000)</f>
        <v>1.32938818580192E-5</v>
      </c>
      <c r="I1912" s="1" cm="1">
        <f t="array" ref="I1912">SUMPRODUCT(("Var_Cap"=[1]OUT_TransportEnergyCons!$B$4:$B$10000)*1,("-"=[1]OUT_TransportEnergyCons!$C$4:$C$10000)*1,ISNUMBER(SEARCH("T_C*h2o*s1",[1]OUT_TransportEnergyCons!$A$4:$A$10000))*1,[1]OUT_TransportEnergyCons!G$4:G$10000)</f>
        <v>1.2933938999580495E-5</v>
      </c>
      <c r="J1912" s="1" cm="1">
        <f t="array" ref="J1912">SUMPRODUCT(("Var_Cap"=[1]OUT_TransportEnergyCons!$B$4:$B$10000)*1,("-"=[1]OUT_TransportEnergyCons!$C$4:$C$10000)*1,ISNUMBER(SEARCH("T_C*h2o*s1",[1]OUT_TransportEnergyCons!$A$4:$A$10000))*1,[1]OUT_TransportEnergyCons!H$4:H$10000)</f>
        <v>7.6872836909454395E-6</v>
      </c>
      <c r="K1912" s="1" cm="1">
        <f t="array" ref="K1912">SUMPRODUCT(("Var_Cap"=[1]OUT_TransportEnergyCons!$B$4:$B$10000)*1,("-"=[1]OUT_TransportEnergyCons!$C$4:$C$10000)*1,ISNUMBER(SEARCH("T_C*h2o*s1",[1]OUT_TransportEnergyCons!$A$4:$A$10000))*1,[1]OUT_TransportEnergyCons!I$4:I$10000)</f>
        <v>5.6472845272461651E-6</v>
      </c>
    </row>
    <row r="1913" spans="2:11" x14ac:dyDescent="0.35">
      <c r="B1913" s="5" t="str">
        <f t="shared" si="1246"/>
        <v>SPS3</v>
      </c>
      <c r="C1913" s="5" t="str">
        <f t="shared" si="1244"/>
        <v>CH</v>
      </c>
      <c r="D1913" t="s">
        <v>1936</v>
      </c>
      <c r="E1913" t="str">
        <f t="shared" si="1245"/>
        <v>Million</v>
      </c>
      <c r="F1913" s="1" cm="1">
        <f t="array" ref="F1913">SUMPRODUCT(("Var_Cap"=[1]OUT_TransportEnergyCons!$B$4:$B$10000)*1,("-"=[1]OUT_TransportEnergyCons!$C$4:$C$10000)*1,ISNUMBER(SEARCH("T_C*h2o*s2",[1]OUT_TransportEnergyCons!$A$4:$A$10000))*1,[1]OUT_TransportEnergyCons!D$4:D$10000)</f>
        <v>6.322006774435258E-6</v>
      </c>
      <c r="G1913" s="1" cm="1">
        <f t="array" ref="G1913">SUMPRODUCT(("Var_Cap"=[1]OUT_TransportEnergyCons!$B$4:$B$10000)*1,("-"=[1]OUT_TransportEnergyCons!$C$4:$C$10000)*1,ISNUMBER(SEARCH("T_C*h2o*s2",[1]OUT_TransportEnergyCons!$A$4:$A$10000))*1,[1]OUT_TransportEnergyCons!E$4:E$10000)</f>
        <v>9.4728120284232473E-6</v>
      </c>
      <c r="H1913" s="1" cm="1">
        <f t="array" ref="H1913">SUMPRODUCT(("Var_Cap"=[1]OUT_TransportEnergyCons!$B$4:$B$10000)*1,("-"=[1]OUT_TransportEnergyCons!$C$4:$C$10000)*1,ISNUMBER(SEARCH("T_C*h2o*s2",[1]OUT_TransportEnergyCons!$A$4:$A$10000))*1,[1]OUT_TransportEnergyCons!F$4:F$10000)</f>
        <v>1.150856000173187E-5</v>
      </c>
      <c r="I1913" s="1" cm="1">
        <f t="array" ref="I1913">SUMPRODUCT(("Var_Cap"=[1]OUT_TransportEnergyCons!$B$4:$B$10000)*1,("-"=[1]OUT_TransportEnergyCons!$C$4:$C$10000)*1,ISNUMBER(SEARCH("T_C*h2o*s2",[1]OUT_TransportEnergyCons!$A$4:$A$10000))*1,[1]OUT_TransportEnergyCons!G$4:G$10000)</f>
        <v>6.3260884584378395E-6</v>
      </c>
      <c r="J1913" s="1" cm="1">
        <f t="array" ref="J1913">SUMPRODUCT(("Var_Cap"=[1]OUT_TransportEnergyCons!$B$4:$B$10000)*1,("-"=[1]OUT_TransportEnergyCons!$C$4:$C$10000)*1,ISNUMBER(SEARCH("T_C*h2o*s2",[1]OUT_TransportEnergyCons!$A$4:$A$10000))*1,[1]OUT_TransportEnergyCons!H$4:H$10000)</f>
        <v>5.329737406900825E-6</v>
      </c>
      <c r="K1913" s="1" cm="1">
        <f t="array" ref="K1913">SUMPRODUCT(("Var_Cap"=[1]OUT_TransportEnergyCons!$B$4:$B$10000)*1,("-"=[1]OUT_TransportEnergyCons!$C$4:$C$10000)*1,ISNUMBER(SEARCH("T_C*h2o*s2",[1]OUT_TransportEnergyCons!$A$4:$A$10000))*1,[1]OUT_TransportEnergyCons!I$4:I$10000)</f>
        <v>4.9985971283762135E-6</v>
      </c>
    </row>
    <row r="1914" spans="2:11" x14ac:dyDescent="0.35">
      <c r="B1914" s="5" t="str">
        <f t="shared" si="1246"/>
        <v>SPS3</v>
      </c>
      <c r="C1914" s="5" t="str">
        <f t="shared" si="1244"/>
        <v>CH</v>
      </c>
      <c r="D1914" t="s">
        <v>1937</v>
      </c>
      <c r="E1914" t="str">
        <f t="shared" si="1245"/>
        <v>Million</v>
      </c>
      <c r="F1914" s="1" cm="1">
        <f t="array" ref="F1914">SUMPRODUCT(("Var_Cap"=[1]OUT_TransportEnergyCons!$B$4:$B$10000)*1,("-"=[1]OUT_TransportEnergyCons!$C$4:$C$10000)*1,ISNUMBER(SEARCH("T_C*h2o*s3",[1]OUT_TransportEnergyCons!$A$4:$A$10000))*1,[1]OUT_TransportEnergyCons!D$4:D$10000)</f>
        <v>5.3586907579353222E-5</v>
      </c>
      <c r="G1914" s="1" cm="1">
        <f t="array" ref="G1914">SUMPRODUCT(("Var_Cap"=[1]OUT_TransportEnergyCons!$B$4:$B$10000)*1,("-"=[1]OUT_TransportEnergyCons!$C$4:$C$10000)*1,ISNUMBER(SEARCH("T_C*h2o*s3",[1]OUT_TransportEnergyCons!$A$4:$A$10000))*1,[1]OUT_TransportEnergyCons!E$4:E$10000)</f>
        <v>1.1040506781880831E-4</v>
      </c>
      <c r="H1914" s="1" cm="1">
        <f t="array" ref="H1914">SUMPRODUCT(("Var_Cap"=[1]OUT_TransportEnergyCons!$B$4:$B$10000)*1,("-"=[1]OUT_TransportEnergyCons!$C$4:$C$10000)*1,ISNUMBER(SEARCH("T_C*h2o*s3",[1]OUT_TransportEnergyCons!$A$4:$A$10000))*1,[1]OUT_TransportEnergyCons!F$4:F$10000)</f>
        <v>1.0638347595210312E-4</v>
      </c>
      <c r="I1914" s="1" cm="1">
        <f t="array" ref="I1914">SUMPRODUCT(("Var_Cap"=[1]OUT_TransportEnergyCons!$B$4:$B$10000)*1,("-"=[1]OUT_TransportEnergyCons!$C$4:$C$10000)*1,ISNUMBER(SEARCH("T_C*h2o*s3",[1]OUT_TransportEnergyCons!$A$4:$A$10000))*1,[1]OUT_TransportEnergyCons!G$4:G$10000)</f>
        <v>1.6300712153170869E-8</v>
      </c>
      <c r="J1914" s="1" cm="1">
        <f t="array" ref="J1914">SUMPRODUCT(("Var_Cap"=[1]OUT_TransportEnergyCons!$B$4:$B$10000)*1,("-"=[1]OUT_TransportEnergyCons!$C$4:$C$10000)*1,ISNUMBER(SEARCH("T_C*h2o*s3",[1]OUT_TransportEnergyCons!$A$4:$A$10000))*1,[1]OUT_TransportEnergyCons!H$4:H$10000)</f>
        <v>4.0922245428588489E-6</v>
      </c>
      <c r="K1914" s="1" cm="1">
        <f t="array" ref="K1914">SUMPRODUCT(("Var_Cap"=[1]OUT_TransportEnergyCons!$B$4:$B$10000)*1,("-"=[1]OUT_TransportEnergyCons!$C$4:$C$10000)*1,ISNUMBER(SEARCH("T_C*h2o*s3",[1]OUT_TransportEnergyCons!$A$4:$A$10000))*1,[1]OUT_TransportEnergyCons!I$4:I$10000)</f>
        <v>4.8829846675628314E-6</v>
      </c>
    </row>
    <row r="1915" spans="2:11" x14ac:dyDescent="0.35">
      <c r="B1915" s="5" t="str">
        <f t="shared" si="1246"/>
        <v>SPS3</v>
      </c>
      <c r="C1915" s="5" t="str">
        <f t="shared" si="1244"/>
        <v>CH</v>
      </c>
      <c r="D1915" t="s">
        <v>1938</v>
      </c>
      <c r="E1915" t="str">
        <f t="shared" si="1245"/>
        <v>Million</v>
      </c>
      <c r="F1915" s="1" cm="1">
        <f t="array" ref="F1915">SUMPRODUCT(("Var_Cap"=[1]OUT_TransportEnergyCons!$B$4:$B$10000)*1,("-"=[1]OUT_TransportEnergyCons!$C$4:$C$10000)*1,ISNUMBER(SEARCH("T_C*h2o*s4",[1]OUT_TransportEnergyCons!$A$4:$A$10000))*1,[1]OUT_TransportEnergyCons!D$4:D$10000)</f>
        <v>0</v>
      </c>
      <c r="G1915" s="1" cm="1">
        <f t="array" ref="G1915">SUMPRODUCT(("Var_Cap"=[1]OUT_TransportEnergyCons!$B$4:$B$10000)*1,("-"=[1]OUT_TransportEnergyCons!$C$4:$C$10000)*1,ISNUMBER(SEARCH("T_C*h2o*s4",[1]OUT_TransportEnergyCons!$A$4:$A$10000))*1,[1]OUT_TransportEnergyCons!E$4:E$10000)</f>
        <v>3.4460480149812199E-6</v>
      </c>
      <c r="H1915" s="1" cm="1">
        <f t="array" ref="H1915">SUMPRODUCT(("Var_Cap"=[1]OUT_TransportEnergyCons!$B$4:$B$10000)*1,("-"=[1]OUT_TransportEnergyCons!$C$4:$C$10000)*1,ISNUMBER(SEARCH("T_C*h2o*s4",[1]OUT_TransportEnergyCons!$A$4:$A$10000))*1,[1]OUT_TransportEnergyCons!F$4:F$10000)</f>
        <v>5.1801658222131599E-6</v>
      </c>
      <c r="I1915" s="1" cm="1">
        <f t="array" ref="I1915">SUMPRODUCT(("Var_Cap"=[1]OUT_TransportEnergyCons!$B$4:$B$10000)*1,("-"=[1]OUT_TransportEnergyCons!$C$4:$C$10000)*1,ISNUMBER(SEARCH("T_C*h2o*s4",[1]OUT_TransportEnergyCons!$A$4:$A$10000))*1,[1]OUT_TransportEnergyCons!G$4:G$10000)</f>
        <v>2.6907070990035198E-6</v>
      </c>
      <c r="J1915" s="1" cm="1">
        <f t="array" ref="J1915">SUMPRODUCT(("Var_Cap"=[1]OUT_TransportEnergyCons!$B$4:$B$10000)*1,("-"=[1]OUT_TransportEnergyCons!$C$4:$C$10000)*1,ISNUMBER(SEARCH("T_C*h2o*s4",[1]OUT_TransportEnergyCons!$A$4:$A$10000))*1,[1]OUT_TransportEnergyCons!H$4:H$10000)</f>
        <v>5.6174018747635303E-6</v>
      </c>
      <c r="K1915" s="1" cm="1">
        <f t="array" ref="K1915">SUMPRODUCT(("Var_Cap"=[1]OUT_TransportEnergyCons!$B$4:$B$10000)*1,("-"=[1]OUT_TransportEnergyCons!$C$4:$C$10000)*1,ISNUMBER(SEARCH("T_C*h2o*s4",[1]OUT_TransportEnergyCons!$A$4:$A$10000))*1,[1]OUT_TransportEnergyCons!I$4:I$10000)</f>
        <v>6.7456870153790181E-6</v>
      </c>
    </row>
    <row r="1916" spans="2:11" x14ac:dyDescent="0.35">
      <c r="B1916" s="5" t="str">
        <f t="shared" si="1246"/>
        <v>SPS3</v>
      </c>
      <c r="C1916" s="5" t="str">
        <f t="shared" si="1244"/>
        <v>CH</v>
      </c>
      <c r="D1916" t="s">
        <v>1939</v>
      </c>
      <c r="E1916" t="str">
        <f t="shared" si="1245"/>
        <v>Million</v>
      </c>
      <c r="F1916" s="1" cm="1">
        <f t="array" ref="F1916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16" s="1" cm="1">
        <f t="array" ref="G1916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16" s="1" cm="1">
        <f t="array" ref="H1916">SUMPRODUCT(("Var_Cap"=[1]OUT_TransportEnergyCons!$B$4:$B$10000)*1,("-"=[1]OUT_TransportEnergyCons!$C$4:$C$10000)*1,ISNUMBER(SEARCH("T_C*hy*GSL*ext",[1]OUT_TransportEnergyCons!$A$4:$A$10000))*1,[1]OUT_TransportEnergyCons!F$4:F$10000)</f>
        <v>4.3894637314578752E-2</v>
      </c>
      <c r="I1916" s="1" cm="1">
        <f t="array" ref="I1916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16" s="1" cm="1">
        <f t="array" ref="J1916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16" s="1" cm="1">
        <f t="array" ref="K1916">SUMPRODUCT(("Var_Cap"=[1]OUT_TransportEnergyCons!$B$4:$B$10000)*1,("-"=[1]OUT_TransportEnergyCons!$C$4:$C$10000)*1,ISNUMBER(SEARCH("T_C*hy*GSL*ext",[1]OUT_TransportEnergyCons!$A$4:$A$10000))*1,[1]OUT_TransportEnergyCons!I$4:I$10000)</f>
        <v>0</v>
      </c>
    </row>
    <row r="1917" spans="2:11" x14ac:dyDescent="0.35">
      <c r="B1917" s="5" t="str">
        <f t="shared" si="1246"/>
        <v>SPS3</v>
      </c>
      <c r="C1917" s="5" t="str">
        <f t="shared" si="1244"/>
        <v>CH</v>
      </c>
      <c r="D1917" t="s">
        <v>1940</v>
      </c>
      <c r="E1917" t="str">
        <f t="shared" si="1245"/>
        <v>Million</v>
      </c>
      <c r="F1917" s="1" cm="1">
        <f t="array" ref="F1917">SUMPRODUCT(("Var_Cap"=[1]OUT_TransportEnergyCons!$B$4:$B$10000)*1,("-"=[1]OUT_TransportEnergyCons!$C$4:$C$10000)*1,ISNUMBER(SEARCH("T_C*hy*GSL*s1",[1]OUT_TransportEnergyCons!$A$4:$A$10000))*1,[1]OUT_TransportEnergyCons!D$4:D$10000)</f>
        <v>5.6680032272358946E-3</v>
      </c>
      <c r="G1917" s="1" cm="1">
        <f t="array" ref="G1917">SUMPRODUCT(("Var_Cap"=[1]OUT_TransportEnergyCons!$B$4:$B$10000)*1,("-"=[1]OUT_TransportEnergyCons!$C$4:$C$10000)*1,ISNUMBER(SEARCH("T_C*hy*GSL*s1",[1]OUT_TransportEnergyCons!$A$4:$A$10000))*1,[1]OUT_TransportEnergyCons!E$4:E$10000)</f>
        <v>7.2685349955080702E-3</v>
      </c>
      <c r="H1917" s="1" cm="1">
        <f t="array" ref="H1917">SUMPRODUCT(("Var_Cap"=[1]OUT_TransportEnergyCons!$B$4:$B$10000)*1,("-"=[1]OUT_TransportEnergyCons!$C$4:$C$10000)*1,ISNUMBER(SEARCH("T_C*hy*GSL*s1",[1]OUT_TransportEnergyCons!$A$4:$A$10000))*1,[1]OUT_TransportEnergyCons!F$4:F$10000)</f>
        <v>8.4125476094200173E-3</v>
      </c>
      <c r="I1917" s="1" cm="1">
        <f t="array" ref="I1917">SUMPRODUCT(("Var_Cap"=[1]OUT_TransportEnergyCons!$B$4:$B$10000)*1,("-"=[1]OUT_TransportEnergyCons!$C$4:$C$10000)*1,ISNUMBER(SEARCH("T_C*hy*GSL*s1",[1]OUT_TransportEnergyCons!$A$4:$A$10000))*1,[1]OUT_TransportEnergyCons!G$4:G$10000)</f>
        <v>0.13797760816983681</v>
      </c>
      <c r="J1917" s="1" cm="1">
        <f t="array" ref="J1917">SUMPRODUCT(("Var_Cap"=[1]OUT_TransportEnergyCons!$B$4:$B$10000)*1,("-"=[1]OUT_TransportEnergyCons!$C$4:$C$10000)*1,ISNUMBER(SEARCH("T_C*hy*GSL*s1",[1]OUT_TransportEnergyCons!$A$4:$A$10000))*1,[1]OUT_TransportEnergyCons!H$4:H$10000)</f>
        <v>0.24999915566579525</v>
      </c>
      <c r="K1917" s="1" cm="1">
        <f t="array" ref="K1917">SUMPRODUCT(("Var_Cap"=[1]OUT_TransportEnergyCons!$B$4:$B$10000)*1,("-"=[1]OUT_TransportEnergyCons!$C$4:$C$10000)*1,ISNUMBER(SEARCH("T_C*hy*GSL*s1",[1]OUT_TransportEnergyCons!$A$4:$A$10000))*1,[1]OUT_TransportEnergyCons!I$4:I$10000)</f>
        <v>3.5942535207288497E-5</v>
      </c>
    </row>
    <row r="1918" spans="2:11" x14ac:dyDescent="0.35">
      <c r="B1918" s="5" t="str">
        <f t="shared" si="1246"/>
        <v>SPS3</v>
      </c>
      <c r="C1918" s="5" t="str">
        <f t="shared" si="1244"/>
        <v>CH</v>
      </c>
      <c r="D1918" t="s">
        <v>1941</v>
      </c>
      <c r="E1918" t="str">
        <f t="shared" si="1245"/>
        <v>Million</v>
      </c>
      <c r="F1918" s="1" cm="1">
        <f t="array" ref="F1918">SUMPRODUCT(("Var_Cap"=[1]OUT_TransportEnergyCons!$B$4:$B$10000)*1,("-"=[1]OUT_TransportEnergyCons!$C$4:$C$10000)*1,ISNUMBER(SEARCH("T_C*hy*GSL*s2",[1]OUT_TransportEnergyCons!$A$4:$A$10000))*1,[1]OUT_TransportEnergyCons!D$4:D$10000)</f>
        <v>1.7225757674007438E-2</v>
      </c>
      <c r="G1918" s="1" cm="1">
        <f t="array" ref="G1918">SUMPRODUCT(("Var_Cap"=[1]OUT_TransportEnergyCons!$B$4:$B$10000)*1,("-"=[1]OUT_TransportEnergyCons!$C$4:$C$10000)*1,ISNUMBER(SEARCH("T_C*hy*GSL*s2",[1]OUT_TransportEnergyCons!$A$4:$A$10000))*1,[1]OUT_TransportEnergyCons!E$4:E$10000)</f>
        <v>7.9077360352054829E-2</v>
      </c>
      <c r="H1918" s="1" cm="1">
        <f t="array" ref="H1918">SUMPRODUCT(("Var_Cap"=[1]OUT_TransportEnergyCons!$B$4:$B$10000)*1,("-"=[1]OUT_TransportEnergyCons!$C$4:$C$10000)*1,ISNUMBER(SEARCH("T_C*hy*GSL*s2",[1]OUT_TransportEnergyCons!$A$4:$A$10000))*1,[1]OUT_TransportEnergyCons!F$4:F$10000)</f>
        <v>0.21744999545396274</v>
      </c>
      <c r="I1918" s="1" cm="1">
        <f t="array" ref="I1918">SUMPRODUCT(("Var_Cap"=[1]OUT_TransportEnergyCons!$B$4:$B$10000)*1,("-"=[1]OUT_TransportEnergyCons!$C$4:$C$10000)*1,ISNUMBER(SEARCH("T_C*hy*GSL*s2",[1]OUT_TransportEnergyCons!$A$4:$A$10000))*1,[1]OUT_TransportEnergyCons!G$4:G$10000)</f>
        <v>0.47475796201693998</v>
      </c>
      <c r="J1918" s="1" cm="1">
        <f t="array" ref="J1918">SUMPRODUCT(("Var_Cap"=[1]OUT_TransportEnergyCons!$B$4:$B$10000)*1,("-"=[1]OUT_TransportEnergyCons!$C$4:$C$10000)*1,ISNUMBER(SEARCH("T_C*hy*GSL*s2",[1]OUT_TransportEnergyCons!$A$4:$A$10000))*1,[1]OUT_TransportEnergyCons!H$4:H$10000)</f>
        <v>0.17403742658374846</v>
      </c>
      <c r="K1918" s="1" cm="1">
        <f t="array" ref="K1918">SUMPRODUCT(("Var_Cap"=[1]OUT_TransportEnergyCons!$B$4:$B$10000)*1,("-"=[1]OUT_TransportEnergyCons!$C$4:$C$10000)*1,ISNUMBER(SEARCH("T_C*hy*GSL*s2",[1]OUT_TransportEnergyCons!$A$4:$A$10000))*1,[1]OUT_TransportEnergyCons!I$4:I$10000)</f>
        <v>2.1478748774473174E-5</v>
      </c>
    </row>
    <row r="1919" spans="2:11" x14ac:dyDescent="0.35">
      <c r="B1919" s="5" t="str">
        <f t="shared" si="1246"/>
        <v>SPS3</v>
      </c>
      <c r="C1919" s="5" t="str">
        <f t="shared" si="1244"/>
        <v>CH</v>
      </c>
      <c r="D1919" t="s">
        <v>1942</v>
      </c>
      <c r="E1919" t="str">
        <f t="shared" si="1245"/>
        <v>Million</v>
      </c>
      <c r="F1919" s="1" cm="1">
        <f t="array" ref="F1919">SUMPRODUCT(("Var_Cap"=[1]OUT_TransportEnergyCons!$B$4:$B$10000)*1,("-"=[1]OUT_TransportEnergyCons!$C$4:$C$10000)*1,ISNUMBER(SEARCH("T_C*hy*GSL*s3",[1]OUT_TransportEnergyCons!$A$4:$A$10000))*1,[1]OUT_TransportEnergyCons!D$4:D$10000)</f>
        <v>1.4247626968055035E-2</v>
      </c>
      <c r="G1919" s="1" cm="1">
        <f t="array" ref="G1919">SUMPRODUCT(("Var_Cap"=[1]OUT_TransportEnergyCons!$B$4:$B$10000)*1,("-"=[1]OUT_TransportEnergyCons!$C$4:$C$10000)*1,ISNUMBER(SEARCH("T_C*hy*GSL*s3",[1]OUT_TransportEnergyCons!$A$4:$A$10000))*1,[1]OUT_TransportEnergyCons!E$4:E$10000)</f>
        <v>9.2249476971834055E-2</v>
      </c>
      <c r="H1919" s="1" cm="1">
        <f t="array" ref="H1919">SUMPRODUCT(("Var_Cap"=[1]OUT_TransportEnergyCons!$B$4:$B$10000)*1,("-"=[1]OUT_TransportEnergyCons!$C$4:$C$10000)*1,ISNUMBER(SEARCH("T_C*hy*GSL*s3",[1]OUT_TransportEnergyCons!$A$4:$A$10000))*1,[1]OUT_TransportEnergyCons!F$4:F$10000)</f>
        <v>8.7570712382377972E-2</v>
      </c>
      <c r="I1919" s="1" cm="1">
        <f t="array" ref="I1919">SUMPRODUCT(("Var_Cap"=[1]OUT_TransportEnergyCons!$B$4:$B$10000)*1,("-"=[1]OUT_TransportEnergyCons!$C$4:$C$10000)*1,ISNUMBER(SEARCH("T_C*hy*GSL*s3",[1]OUT_TransportEnergyCons!$A$4:$A$10000))*1,[1]OUT_TransportEnergyCons!G$4:G$10000)</f>
        <v>7.0902855747615956E-2</v>
      </c>
      <c r="J1919" s="1" cm="1">
        <f t="array" ref="J1919">SUMPRODUCT(("Var_Cap"=[1]OUT_TransportEnergyCons!$B$4:$B$10000)*1,("-"=[1]OUT_TransportEnergyCons!$C$4:$C$10000)*1,ISNUMBER(SEARCH("T_C*hy*GSL*s3",[1]OUT_TransportEnergyCons!$A$4:$A$10000))*1,[1]OUT_TransportEnergyCons!H$4:H$10000)</f>
        <v>1.3202747945904018E-4</v>
      </c>
      <c r="K1919" s="1" cm="1">
        <f t="array" ref="K1919">SUMPRODUCT(("Var_Cap"=[1]OUT_TransportEnergyCons!$B$4:$B$10000)*1,("-"=[1]OUT_TransportEnergyCons!$C$4:$C$10000)*1,ISNUMBER(SEARCH("T_C*hy*GSL*s3",[1]OUT_TransportEnergyCons!$A$4:$A$10000))*1,[1]OUT_TransportEnergyCons!I$4:I$10000)</f>
        <v>1.5442665645055679E-5</v>
      </c>
    </row>
    <row r="1920" spans="2:11" x14ac:dyDescent="0.35">
      <c r="B1920" s="5" t="str">
        <f t="shared" si="1246"/>
        <v>SPS3</v>
      </c>
      <c r="C1920" s="5" t="str">
        <f t="shared" si="1244"/>
        <v>CH</v>
      </c>
      <c r="D1920" t="s">
        <v>1943</v>
      </c>
      <c r="E1920" t="str">
        <f t="shared" si="1245"/>
        <v>Million</v>
      </c>
      <c r="F1920" s="1" cm="1">
        <f t="array" ref="F1920">SUMPRODUCT(("Var_Cap"=[1]OUT_TransportEnergyCons!$B$4:$B$10000)*1,("-"=[1]OUT_TransportEnergyCons!$C$4:$C$10000)*1,ISNUMBER(SEARCH("T_C*hy*GSL*s4",[1]OUT_TransportEnergyCons!$A$4:$A$10000))*1,[1]OUT_TransportEnergyCons!D$4:D$10000)</f>
        <v>8.3196352050436441E-3</v>
      </c>
      <c r="G1920" s="1" cm="1">
        <f t="array" ref="G1920">SUMPRODUCT(("Var_Cap"=[1]OUT_TransportEnergyCons!$B$4:$B$10000)*1,("-"=[1]OUT_TransportEnergyCons!$C$4:$C$10000)*1,ISNUMBER(SEARCH("T_C*hy*GSL*s4",[1]OUT_TransportEnergyCons!$A$4:$A$10000))*1,[1]OUT_TransportEnergyCons!E$4:E$10000)</f>
        <v>1.4611090771963877E-2</v>
      </c>
      <c r="H1920" s="1" cm="1">
        <f t="array" ref="H1920">SUMPRODUCT(("Var_Cap"=[1]OUT_TransportEnergyCons!$B$4:$B$10000)*1,("-"=[1]OUT_TransportEnergyCons!$C$4:$C$10000)*1,ISNUMBER(SEARCH("T_C*hy*GSL*s4",[1]OUT_TransportEnergyCons!$A$4:$A$10000))*1,[1]OUT_TransportEnergyCons!F$4:F$10000)</f>
        <v>1.423133760374572E-2</v>
      </c>
      <c r="I1920" s="1" cm="1">
        <f t="array" ref="I1920">SUMPRODUCT(("Var_Cap"=[1]OUT_TransportEnergyCons!$B$4:$B$10000)*1,("-"=[1]OUT_TransportEnergyCons!$C$4:$C$10000)*1,ISNUMBER(SEARCH("T_C*hy*GSL*s4",[1]OUT_TransportEnergyCons!$A$4:$A$10000))*1,[1]OUT_TransportEnergyCons!G$4:G$10000)</f>
        <v>1.2182493956355619E-2</v>
      </c>
      <c r="J1920" s="1" cm="1">
        <f t="array" ref="J1920">SUMPRODUCT(("Var_Cap"=[1]OUT_TransportEnergyCons!$B$4:$B$10000)*1,("-"=[1]OUT_TransportEnergyCons!$C$4:$C$10000)*1,ISNUMBER(SEARCH("T_C*hy*GSL*s4",[1]OUT_TransportEnergyCons!$A$4:$A$10000))*1,[1]OUT_TransportEnergyCons!H$4:H$10000)</f>
        <v>2.2438458259161839E-4</v>
      </c>
      <c r="K1920" s="1" cm="1">
        <f t="array" ref="K1920">SUMPRODUCT(("Var_Cap"=[1]OUT_TransportEnergyCons!$B$4:$B$10000)*1,("-"=[1]OUT_TransportEnergyCons!$C$4:$C$10000)*1,ISNUMBER(SEARCH("T_C*hy*GSL*s4",[1]OUT_TransportEnergyCons!$A$4:$A$10000))*1,[1]OUT_TransportEnergyCons!I$4:I$10000)</f>
        <v>2.5359529346977519E-5</v>
      </c>
    </row>
    <row r="1921" spans="2:11" x14ac:dyDescent="0.35">
      <c r="B1921" s="5" t="str">
        <f t="shared" si="1246"/>
        <v>SPS3</v>
      </c>
      <c r="C1921" s="5" t="str">
        <f t="shared" si="1244"/>
        <v>CH</v>
      </c>
      <c r="D1921" t="s">
        <v>1944</v>
      </c>
      <c r="E1921" t="str">
        <f t="shared" si="1245"/>
        <v>Million</v>
      </c>
      <c r="F1921" s="1" cm="1">
        <f t="array" ref="F1921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1" s="1" cm="1">
        <f t="array" ref="G1921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1" s="1" cm="1">
        <f t="array" ref="H1921">SUMPRODUCT(("Var_Cap"=[1]OUT_TransportEnergyCons!$B$4:$B$10000)*1,("-"=[1]OUT_TransportEnergyCons!$C$4:$C$10000)*1,ISNUMBER(SEARCH("T_C*ICE*GSL*ext",[1]OUT_TransportEnergyCons!$A$4:$A$10000))*1,[1]OUT_TransportEnergyCons!F$4:F$10000)</f>
        <v>1.6628846396329631</v>
      </c>
      <c r="I1921" s="1" cm="1">
        <f t="array" ref="I1921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1" s="1" cm="1">
        <f t="array" ref="J1921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SUMPRODUCT(("Var_Cap"=[1]OUT_TransportEnergyCons!$B$4:$B$10000)*1,("-"=[1]OUT_TransportEnergyCons!$C$4:$C$10000)*1,ISNUMBER(SEARCH("T_C*ICE*GSL*ext",[1]OUT_TransportEnergyCons!$A$4:$A$10000))*1,[1]OUT_TransportEnergyCons!I$4:I$10000)</f>
        <v>0</v>
      </c>
    </row>
    <row r="1922" spans="2:11" x14ac:dyDescent="0.35">
      <c r="B1922" s="5" t="str">
        <f t="shared" si="1246"/>
        <v>SPS3</v>
      </c>
      <c r="C1922" s="5" t="str">
        <f t="shared" si="1244"/>
        <v>CH</v>
      </c>
      <c r="D1922" t="s">
        <v>1945</v>
      </c>
      <c r="E1922" t="str">
        <f t="shared" si="1245"/>
        <v>Million</v>
      </c>
      <c r="F1922" s="1" cm="1">
        <f t="array" ref="F1922">SUMPRODUCT(("Var_Cap"=[1]OUT_TransportEnergyCons!$B$4:$B$10000)*1,("-"=[1]OUT_TransportEnergyCons!$C$4:$C$10000)*1,ISNUMBER(SEARCH("T_C*ICE*GSL*s1",[1]OUT_TransportEnergyCons!$A$4:$A$10000))*1,[1]OUT_TransportEnergyCons!D$4:D$10000)</f>
        <v>3.6540335498296959E-2</v>
      </c>
      <c r="G1922" s="1" cm="1">
        <f t="array" ref="G1922">SUMPRODUCT(("Var_Cap"=[1]OUT_TransportEnergyCons!$B$4:$B$10000)*1,("-"=[1]OUT_TransportEnergyCons!$C$4:$C$10000)*1,ISNUMBER(SEARCH("T_C*ICE*GSL*s1",[1]OUT_TransportEnergyCons!$A$4:$A$10000))*1,[1]OUT_TransportEnergyCons!E$4:E$10000)</f>
        <v>3.9998619942369577E-2</v>
      </c>
      <c r="H1922" s="1" cm="1">
        <f t="array" ref="H1922">SUMPRODUCT(("Var_Cap"=[1]OUT_TransportEnergyCons!$B$4:$B$10000)*1,("-"=[1]OUT_TransportEnergyCons!$C$4:$C$10000)*1,ISNUMBER(SEARCH("T_C*ICE*GSL*s1",[1]OUT_TransportEnergyCons!$A$4:$A$10000))*1,[1]OUT_TransportEnergyCons!F$4:F$10000)</f>
        <v>0.10723144279631169</v>
      </c>
      <c r="I1922" s="1" cm="1">
        <f t="array" ref="I1922">SUMPRODUCT(("Var_Cap"=[1]OUT_TransportEnergyCons!$B$4:$B$10000)*1,("-"=[1]OUT_TransportEnergyCons!$C$4:$C$10000)*1,ISNUMBER(SEARCH("T_C*ICE*GSL*s1",[1]OUT_TransportEnergyCons!$A$4:$A$10000))*1,[1]OUT_TransportEnergyCons!G$4:G$10000)</f>
        <v>9.0073061432683704E-2</v>
      </c>
      <c r="J1922" s="1" cm="1">
        <f t="array" ref="J1922">SUMPRODUCT(("Var_Cap"=[1]OUT_TransportEnergyCons!$B$4:$B$10000)*1,("-"=[1]OUT_TransportEnergyCons!$C$4:$C$10000)*1,ISNUMBER(SEARCH("T_C*ICE*GSL*s1",[1]OUT_TransportEnergyCons!$A$4:$A$10000))*1,[1]OUT_TransportEnergyCons!H$4:H$10000)</f>
        <v>5.9199266710173656E-3</v>
      </c>
      <c r="K1922" s="1" cm="1">
        <f t="array" ref="K1922">SUMPRODUCT(("Var_Cap"=[1]OUT_TransportEnergyCons!$B$4:$B$10000)*1,("-"=[1]OUT_TransportEnergyCons!$C$4:$C$10000)*1,ISNUMBER(SEARCH("T_C*ICE*GSL*s1",[1]OUT_TransportEnergyCons!$A$4:$A$10000))*1,[1]OUT_TransportEnergyCons!I$4:I$10000)</f>
        <v>2.9005313594667985E-6</v>
      </c>
    </row>
    <row r="1923" spans="2:11" x14ac:dyDescent="0.35">
      <c r="B1923" s="5" t="str">
        <f t="shared" si="1246"/>
        <v>SPS3</v>
      </c>
      <c r="C1923" s="5" t="str">
        <f t="shared" si="1244"/>
        <v>CH</v>
      </c>
      <c r="D1923" t="s">
        <v>1946</v>
      </c>
      <c r="E1923" t="str">
        <f t="shared" si="1245"/>
        <v>Million</v>
      </c>
      <c r="F1923" s="1" cm="1">
        <f t="array" ref="F1923">SUMPRODUCT(("Var_Cap"=[1]OUT_TransportEnergyCons!$B$4:$B$10000)*1,("-"=[1]OUT_TransportEnergyCons!$C$4:$C$10000)*1,ISNUMBER(SEARCH("T_C*ICE*GSL*s2",[1]OUT_TransportEnergyCons!$A$4:$A$10000))*1,[1]OUT_TransportEnergyCons!D$4:D$10000)</f>
        <v>0.21742806855264374</v>
      </c>
      <c r="G1923" s="1" cm="1">
        <f t="array" ref="G1923">SUMPRODUCT(("Var_Cap"=[1]OUT_TransportEnergyCons!$B$4:$B$10000)*1,("-"=[1]OUT_TransportEnergyCons!$C$4:$C$10000)*1,ISNUMBER(SEARCH("T_C*ICE*GSL*s2",[1]OUT_TransportEnergyCons!$A$4:$A$10000))*1,[1]OUT_TransportEnergyCons!E$4:E$10000)</f>
        <v>0.24347806724482607</v>
      </c>
      <c r="H1923" s="1" cm="1">
        <f t="array" ref="H1923">SUMPRODUCT(("Var_Cap"=[1]OUT_TransportEnergyCons!$B$4:$B$10000)*1,("-"=[1]OUT_TransportEnergyCons!$C$4:$C$10000)*1,ISNUMBER(SEARCH("T_C*ICE*GSL*s2",[1]OUT_TransportEnergyCons!$A$4:$A$10000))*1,[1]OUT_TransportEnergyCons!F$4:F$10000)</f>
        <v>0.24050776831897785</v>
      </c>
      <c r="I1923" s="1" cm="1">
        <f t="array" ref="I1923">SUMPRODUCT(("Var_Cap"=[1]OUT_TransportEnergyCons!$B$4:$B$10000)*1,("-"=[1]OUT_TransportEnergyCons!$C$4:$C$10000)*1,ISNUMBER(SEARCH("T_C*ICE*GSL*s2",[1]OUT_TransportEnergyCons!$A$4:$A$10000))*1,[1]OUT_TransportEnergyCons!G$4:G$10000)</f>
        <v>0.19018510534168981</v>
      </c>
      <c r="J1923" s="1" cm="1">
        <f t="array" ref="J1923">SUMPRODUCT(("Var_Cap"=[1]OUT_TransportEnergyCons!$B$4:$B$10000)*1,("-"=[1]OUT_TransportEnergyCons!$C$4:$C$10000)*1,ISNUMBER(SEARCH("T_C*ICE*GSL*s2",[1]OUT_TransportEnergyCons!$A$4:$A$10000))*1,[1]OUT_TransportEnergyCons!H$4:H$10000)</f>
        <v>1.305054615575742E-4</v>
      </c>
      <c r="K1923" s="1" cm="1">
        <f t="array" ref="K1923">SUMPRODUCT(("Var_Cap"=[1]OUT_TransportEnergyCons!$B$4:$B$10000)*1,("-"=[1]OUT_TransportEnergyCons!$C$4:$C$10000)*1,ISNUMBER(SEARCH("T_C*ICE*GSL*s2",[1]OUT_TransportEnergyCons!$A$4:$A$10000))*1,[1]OUT_TransportEnergyCons!I$4:I$10000)</f>
        <v>1.2841324115151206E-6</v>
      </c>
    </row>
    <row r="1924" spans="2:11" x14ac:dyDescent="0.35">
      <c r="B1924" s="5" t="str">
        <f t="shared" si="1246"/>
        <v>SPS3</v>
      </c>
      <c r="C1924" s="5" t="str">
        <f t="shared" si="1244"/>
        <v>CH</v>
      </c>
      <c r="D1924" t="s">
        <v>1947</v>
      </c>
      <c r="E1924" t="str">
        <f t="shared" si="1245"/>
        <v>Million</v>
      </c>
      <c r="F1924" s="1" cm="1">
        <f t="array" ref="F1924">SUMPRODUCT(("Var_Cap"=[1]OUT_TransportEnergyCons!$B$4:$B$10000)*1,("-"=[1]OUT_TransportEnergyCons!$C$4:$C$10000)*1,ISNUMBER(SEARCH("T_C*ICE*GSL*s3",[1]OUT_TransportEnergyCons!$A$4:$A$10000))*1,[1]OUT_TransportEnergyCons!D$4:D$10000)</f>
        <v>0.18201068827096734</v>
      </c>
      <c r="G1924" s="1" cm="1">
        <f t="array" ref="G1924">SUMPRODUCT(("Var_Cap"=[1]OUT_TransportEnergyCons!$B$4:$B$10000)*1,("-"=[1]OUT_TransportEnergyCons!$C$4:$C$10000)*1,ISNUMBER(SEARCH("T_C*ICE*GSL*s3",[1]OUT_TransportEnergyCons!$A$4:$A$10000))*1,[1]OUT_TransportEnergyCons!E$4:E$10000)</f>
        <v>0.31425987967639268</v>
      </c>
      <c r="H1924" s="1" cm="1">
        <f t="array" ref="H1924">SUMPRODUCT(("Var_Cap"=[1]OUT_TransportEnergyCons!$B$4:$B$10000)*1,("-"=[1]OUT_TransportEnergyCons!$C$4:$C$10000)*1,ISNUMBER(SEARCH("T_C*ICE*GSL*s3",[1]OUT_TransportEnergyCons!$A$4:$A$10000))*1,[1]OUT_TransportEnergyCons!F$4:F$10000)</f>
        <v>0.34473318358285604</v>
      </c>
      <c r="I1924" s="1" cm="1">
        <f t="array" ref="I1924">SUMPRODUCT(("Var_Cap"=[1]OUT_TransportEnergyCons!$B$4:$B$10000)*1,("-"=[1]OUT_TransportEnergyCons!$C$4:$C$10000)*1,ISNUMBER(SEARCH("T_C*ICE*GSL*s3",[1]OUT_TransportEnergyCons!$A$4:$A$10000))*1,[1]OUT_TransportEnergyCons!G$4:G$10000)</f>
        <v>0.28182003317336385</v>
      </c>
      <c r="J1924" s="1" cm="1">
        <f t="array" ref="J1924">SUMPRODUCT(("Var_Cap"=[1]OUT_TransportEnergyCons!$B$4:$B$10000)*1,("-"=[1]OUT_TransportEnergyCons!$C$4:$C$10000)*1,ISNUMBER(SEARCH("T_C*ICE*GSL*s3",[1]OUT_TransportEnergyCons!$A$4:$A$10000))*1,[1]OUT_TransportEnergyCons!H$4:H$10000)</f>
        <v>3.4711358645285813E-3</v>
      </c>
      <c r="K1924" s="1" cm="1">
        <f t="array" ref="K1924">SUMPRODUCT(("Var_Cap"=[1]OUT_TransportEnergyCons!$B$4:$B$10000)*1,("-"=[1]OUT_TransportEnergyCons!$C$4:$C$10000)*1,ISNUMBER(SEARCH("T_C*ICE*GSL*s3",[1]OUT_TransportEnergyCons!$A$4:$A$10000))*1,[1]OUT_TransportEnergyCons!I$4:I$10000)</f>
        <v>9.6882115786350978E-7</v>
      </c>
    </row>
    <row r="1925" spans="2:11" x14ac:dyDescent="0.35">
      <c r="B1925" s="5" t="str">
        <f t="shared" si="1246"/>
        <v>SPS3</v>
      </c>
      <c r="C1925" s="5" t="str">
        <f t="shared" si="1244"/>
        <v>CH</v>
      </c>
      <c r="D1925" t="s">
        <v>1948</v>
      </c>
      <c r="E1925" t="str">
        <f t="shared" si="1245"/>
        <v>Million</v>
      </c>
      <c r="F1925" s="1" cm="1">
        <f t="array" ref="F1925">SUMPRODUCT(("Var_Cap"=[1]OUT_TransportEnergyCons!$B$4:$B$10000)*1,("-"=[1]OUT_TransportEnergyCons!$C$4:$C$10000)*1,ISNUMBER(SEARCH("T_C*ICE*GSL*s4",[1]OUT_TransportEnergyCons!$A$4:$A$10000))*1,[1]OUT_TransportEnergyCons!D$4:D$10000)</f>
        <v>0.15707412667894774</v>
      </c>
      <c r="G1925" s="1" cm="1">
        <f t="array" ref="G1925">SUMPRODUCT(("Var_Cap"=[1]OUT_TransportEnergyCons!$B$4:$B$10000)*1,("-"=[1]OUT_TransportEnergyCons!$C$4:$C$10000)*1,ISNUMBER(SEARCH("T_C*ICE*GSL*s4",[1]OUT_TransportEnergyCons!$A$4:$A$10000))*1,[1]OUT_TransportEnergyCons!E$4:E$10000)</f>
        <v>0.17997355361726133</v>
      </c>
      <c r="H1925" s="1" cm="1">
        <f t="array" ref="H1925">SUMPRODUCT(("Var_Cap"=[1]OUT_TransportEnergyCons!$B$4:$B$10000)*1,("-"=[1]OUT_TransportEnergyCons!$C$4:$C$10000)*1,ISNUMBER(SEARCH("T_C*ICE*GSL*s4",[1]OUT_TransportEnergyCons!$A$4:$A$10000))*1,[1]OUT_TransportEnergyCons!F$4:F$10000)</f>
        <v>0.28284649531445427</v>
      </c>
      <c r="I1925" s="1" cm="1">
        <f t="array" ref="I1925">SUMPRODUCT(("Var_Cap"=[1]OUT_TransportEnergyCons!$B$4:$B$10000)*1,("-"=[1]OUT_TransportEnergyCons!$C$4:$C$10000)*1,ISNUMBER(SEARCH("T_C*ICE*GSL*s4",[1]OUT_TransportEnergyCons!$A$4:$A$10000))*1,[1]OUT_TransportEnergyCons!G$4:G$10000)</f>
        <v>0.92140691053821799</v>
      </c>
      <c r="J1925" s="1" cm="1">
        <f t="array" ref="J1925">SUMPRODUCT(("Var_Cap"=[1]OUT_TransportEnergyCons!$B$4:$B$10000)*1,("-"=[1]OUT_TransportEnergyCons!$C$4:$C$10000)*1,ISNUMBER(SEARCH("T_C*ICE*GSL*s4",[1]OUT_TransportEnergyCons!$A$4:$A$10000))*1,[1]OUT_TransportEnergyCons!H$4:H$10000)</f>
        <v>0.28619848851842988</v>
      </c>
      <c r="K1925" s="1" cm="1">
        <f t="array" ref="K1925">SUMPRODUCT(("Var_Cap"=[1]OUT_TransportEnergyCons!$B$4:$B$10000)*1,("-"=[1]OUT_TransportEnergyCons!$C$4:$C$10000)*1,ISNUMBER(SEARCH("T_C*ICE*GSL*s4",[1]OUT_TransportEnergyCons!$A$4:$A$10000))*1,[1]OUT_TransportEnergyCons!I$4:I$10000)</f>
        <v>1.6100651838729001E-6</v>
      </c>
    </row>
    <row r="1926" spans="2:11" x14ac:dyDescent="0.35">
      <c r="B1926" s="5" t="str">
        <f t="shared" si="1246"/>
        <v>SPS3</v>
      </c>
      <c r="C1926" s="5" t="str">
        <f t="shared" si="1244"/>
        <v>CH</v>
      </c>
      <c r="D1926" t="s">
        <v>1949</v>
      </c>
      <c r="E1926" t="str">
        <f t="shared" si="1245"/>
        <v>Million</v>
      </c>
      <c r="F1926" s="1" cm="1">
        <f t="array" ref="F1926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26" s="1" cm="1">
        <f t="array" ref="G1926">SUMPRODUCT(("Var_Cap"=[1]OUT_TransportEnergyCons!$B$4:$B$10000)*1,("-"=[1]OUT_TransportEnergyCons!$C$4:$C$10000)*1,ISNUMBER(SEARCH("T_C*mhy*GSL*s1",[1]OUT_TransportEnergyCons!$A$4:$A$10000))*1,[1]OUT_TransportEnergyCons!E$4:E$10000)</f>
        <v>8.4318286128482007E-5</v>
      </c>
      <c r="H1926" s="1" cm="1">
        <f t="array" ref="H1926">SUMPRODUCT(("Var_Cap"=[1]OUT_TransportEnergyCons!$B$4:$B$10000)*1,("-"=[1]OUT_TransportEnergyCons!$C$4:$C$10000)*1,ISNUMBER(SEARCH("T_C*mhy*GSL*s1",[1]OUT_TransportEnergyCons!$A$4:$A$10000))*1,[1]OUT_TransportEnergyCons!F$4:F$10000)</f>
        <v>2.3788202441481099E-4</v>
      </c>
      <c r="I1926" s="1" cm="1">
        <f t="array" ref="I1926">SUMPRODUCT(("Var_Cap"=[1]OUT_TransportEnergyCons!$B$4:$B$10000)*1,("-"=[1]OUT_TransportEnergyCons!$C$4:$C$10000)*1,ISNUMBER(SEARCH("T_C*mhy*GSL*s1",[1]OUT_TransportEnergyCons!$A$4:$A$10000))*1,[1]OUT_TransportEnergyCons!G$4:G$10000)</f>
        <v>3.3629437452287799E-4</v>
      </c>
      <c r="J1926" s="1" cm="1">
        <f t="array" ref="J1926">SUMPRODUCT(("Var_Cap"=[1]OUT_TransportEnergyCons!$B$4:$B$10000)*1,("-"=[1]OUT_TransportEnergyCons!$C$4:$C$10000)*1,ISNUMBER(SEARCH("T_C*mhy*GSL*s1",[1]OUT_TransportEnergyCons!$A$4:$A$10000))*1,[1]OUT_TransportEnergyCons!H$4:H$10000)</f>
        <v>1.08462126608998E-4</v>
      </c>
      <c r="K1926" s="1" cm="1">
        <f t="array" ref="K1926">SUMPRODUCT(("Var_Cap"=[1]OUT_TransportEnergyCons!$B$4:$B$10000)*1,("-"=[1]OUT_TransportEnergyCons!$C$4:$C$10000)*1,ISNUMBER(SEARCH("T_C*mhy*GSL*s1",[1]OUT_TransportEnergyCons!$A$4:$A$10000))*1,[1]OUT_TransportEnergyCons!I$4:I$10000)</f>
        <v>1.54386035570959E-5</v>
      </c>
    </row>
    <row r="1927" spans="2:11" x14ac:dyDescent="0.35">
      <c r="B1927" s="5" t="str">
        <f t="shared" si="1246"/>
        <v>SPS3</v>
      </c>
      <c r="C1927" s="5" t="str">
        <f t="shared" si="1244"/>
        <v>CH</v>
      </c>
      <c r="D1927" t="s">
        <v>1950</v>
      </c>
      <c r="E1927" t="str">
        <f t="shared" si="1245"/>
        <v>Million</v>
      </c>
      <c r="F1927" s="1" cm="1">
        <f t="array" ref="F1927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27" s="1" cm="1">
        <f t="array" ref="G1927">SUMPRODUCT(("Var_Cap"=[1]OUT_TransportEnergyCons!$B$4:$B$10000)*1,("-"=[1]OUT_TransportEnergyCons!$C$4:$C$10000)*1,ISNUMBER(SEARCH("T_C*mhy*GSL*s2",[1]OUT_TransportEnergyCons!$A$4:$A$10000))*1,[1]OUT_TransportEnergyCons!E$4:E$10000)</f>
        <v>3.5482125213689403E-5</v>
      </c>
      <c r="H1927" s="1" cm="1">
        <f t="array" ref="H1927">SUMPRODUCT(("Var_Cap"=[1]OUT_TransportEnergyCons!$B$4:$B$10000)*1,("-"=[1]OUT_TransportEnergyCons!$C$4:$C$10000)*1,ISNUMBER(SEARCH("T_C*mhy*GSL*s2",[1]OUT_TransportEnergyCons!$A$4:$A$10000))*1,[1]OUT_TransportEnergyCons!F$4:F$10000)</f>
        <v>1.1078524355783399E-4</v>
      </c>
      <c r="I1927" s="1" cm="1">
        <f t="array" ref="I1927">SUMPRODUCT(("Var_Cap"=[1]OUT_TransportEnergyCons!$B$4:$B$10000)*1,("-"=[1]OUT_TransportEnergyCons!$C$4:$C$10000)*1,ISNUMBER(SEARCH("T_C*mhy*GSL*s2",[1]OUT_TransportEnergyCons!$A$4:$A$10000))*1,[1]OUT_TransportEnergyCons!G$4:G$10000)</f>
        <v>1.8227860644133201E-4</v>
      </c>
      <c r="J1927" s="1" cm="1">
        <f t="array" ref="J1927">SUMPRODUCT(("Var_Cap"=[1]OUT_TransportEnergyCons!$B$4:$B$10000)*1,("-"=[1]OUT_TransportEnergyCons!$C$4:$C$10000)*1,ISNUMBER(SEARCH("T_C*mhy*GSL*s2",[1]OUT_TransportEnergyCons!$A$4:$A$10000))*1,[1]OUT_TransportEnergyCons!H$4:H$10000)</f>
        <v>6.3065080729051502E-5</v>
      </c>
      <c r="K1927" s="1" cm="1">
        <f t="array" ref="K1927">SUMPRODUCT(("Var_Cap"=[1]OUT_TransportEnergyCons!$B$4:$B$10000)*1,("-"=[1]OUT_TransportEnergyCons!$C$4:$C$10000)*1,ISNUMBER(SEARCH("T_C*mhy*GSL*s2",[1]OUT_TransportEnergyCons!$A$4:$A$10000))*1,[1]OUT_TransportEnergyCons!I$4:I$10000)</f>
        <v>7.5531634582734504E-6</v>
      </c>
    </row>
    <row r="1928" spans="2:11" x14ac:dyDescent="0.35">
      <c r="B1928" s="5" t="str">
        <f t="shared" si="1246"/>
        <v>SPS3</v>
      </c>
      <c r="C1928" s="5" t="str">
        <f t="shared" si="1244"/>
        <v>CH</v>
      </c>
      <c r="D1928" t="s">
        <v>1951</v>
      </c>
      <c r="E1928" t="str">
        <f t="shared" si="1245"/>
        <v>Million</v>
      </c>
      <c r="F1928" s="1" cm="1">
        <f t="array" ref="F1928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28" s="1" cm="1">
        <f t="array" ref="G1928">SUMPRODUCT(("Var_Cap"=[1]OUT_TransportEnergyCons!$B$4:$B$10000)*1,("-"=[1]OUT_TransportEnergyCons!$C$4:$C$10000)*1,ISNUMBER(SEARCH("T_C*mhy*GSL*s3",[1]OUT_TransportEnergyCons!$A$4:$A$10000))*1,[1]OUT_TransportEnergyCons!E$4:E$10000)</f>
        <v>4.5736364449752499E-5</v>
      </c>
      <c r="H1928" s="1" cm="1">
        <f t="array" ref="H1928">SUMPRODUCT(("Var_Cap"=[1]OUT_TransportEnergyCons!$B$4:$B$10000)*1,("-"=[1]OUT_TransportEnergyCons!$C$4:$C$10000)*1,ISNUMBER(SEARCH("T_C*mhy*GSL*s3",[1]OUT_TransportEnergyCons!$A$4:$A$10000))*1,[1]OUT_TransportEnergyCons!F$4:F$10000)</f>
        <v>1.1829566193279301E-4</v>
      </c>
      <c r="I1928" s="1" cm="1">
        <f t="array" ref="I1928">SUMPRODUCT(("Var_Cap"=[1]OUT_TransportEnergyCons!$B$4:$B$10000)*1,("-"=[1]OUT_TransportEnergyCons!$C$4:$C$10000)*1,ISNUMBER(SEARCH("T_C*mhy*GSL*s3",[1]OUT_TransportEnergyCons!$A$4:$A$10000))*1,[1]OUT_TransportEnergyCons!G$4:G$10000)</f>
        <v>1.80558661533639E-4</v>
      </c>
      <c r="J1928" s="1" cm="1">
        <f t="array" ref="J1928">SUMPRODUCT(("Var_Cap"=[1]OUT_TransportEnergyCons!$B$4:$B$10000)*1,("-"=[1]OUT_TransportEnergyCons!$C$4:$C$10000)*1,ISNUMBER(SEARCH("T_C*mhy*GSL*s3",[1]OUT_TransportEnergyCons!$A$4:$A$10000))*1,[1]OUT_TransportEnergyCons!H$4:H$10000)</f>
        <v>5.49509395828219E-5</v>
      </c>
      <c r="K1928" s="1" cm="1">
        <f t="array" ref="K1928">SUMPRODUCT(("Var_Cap"=[1]OUT_TransportEnergyCons!$B$4:$B$10000)*1,("-"=[1]OUT_TransportEnergyCons!$C$4:$C$10000)*1,ISNUMBER(SEARCH("T_C*mhy*GSL*s3",[1]OUT_TransportEnergyCons!$A$4:$A$10000))*1,[1]OUT_TransportEnergyCons!I$4:I$10000)</f>
        <v>5.8236135060323796E-6</v>
      </c>
    </row>
    <row r="1929" spans="2:11" x14ac:dyDescent="0.35">
      <c r="B1929" s="5" t="str">
        <f t="shared" si="1246"/>
        <v>SPS3</v>
      </c>
      <c r="C1929" s="5" t="str">
        <f t="shared" si="1244"/>
        <v>CH</v>
      </c>
      <c r="D1929" t="s">
        <v>1952</v>
      </c>
      <c r="E1929" t="str">
        <f t="shared" si="1245"/>
        <v>Million</v>
      </c>
      <c r="F1929" s="1" cm="1">
        <f t="array" ref="F1929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29" s="1" cm="1">
        <f t="array" ref="G1929">SUMPRODUCT(("Var_Cap"=[1]OUT_TransportEnergyCons!$B$4:$B$10000)*1,("-"=[1]OUT_TransportEnergyCons!$C$4:$C$10000)*1,ISNUMBER(SEARCH("T_C*mhy*GSL*s4",[1]OUT_TransportEnergyCons!$A$4:$A$10000))*1,[1]OUT_TransportEnergyCons!E$4:E$10000)</f>
        <v>7.81675476671707E-5</v>
      </c>
      <c r="H1929" s="1" cm="1">
        <f t="array" ref="H1929">SUMPRODUCT(("Var_Cap"=[1]OUT_TransportEnergyCons!$B$4:$B$10000)*1,("-"=[1]OUT_TransportEnergyCons!$C$4:$C$10000)*1,ISNUMBER(SEARCH("T_C*mhy*GSL*s4",[1]OUT_TransportEnergyCons!$A$4:$A$10000))*1,[1]OUT_TransportEnergyCons!F$4:F$10000)</f>
        <v>1.9790227872098199E-4</v>
      </c>
      <c r="I1929" s="1" cm="1">
        <f t="array" ref="I1929">SUMPRODUCT(("Var_Cap"=[1]OUT_TransportEnergyCons!$B$4:$B$10000)*1,("-"=[1]OUT_TransportEnergyCons!$C$4:$C$10000)*1,ISNUMBER(SEARCH("T_C*mhy*GSL*s4",[1]OUT_TransportEnergyCons!$A$4:$A$10000))*1,[1]OUT_TransportEnergyCons!G$4:G$10000)</f>
        <v>3.5383725290465199E-4</v>
      </c>
      <c r="J1929" s="1" cm="1">
        <f t="array" ref="J1929">SUMPRODUCT(("Var_Cap"=[1]OUT_TransportEnergyCons!$B$4:$B$10000)*1,("-"=[1]OUT_TransportEnergyCons!$C$4:$C$10000)*1,ISNUMBER(SEARCH("T_C*mhy*GSL*s4",[1]OUT_TransportEnergyCons!$A$4:$A$10000))*1,[1]OUT_TransportEnergyCons!H$4:H$10000)</f>
        <v>1.12779526847621E-4</v>
      </c>
      <c r="K1929" s="1" cm="1">
        <f t="array" ref="K1929">SUMPRODUCT(("Var_Cap"=[1]OUT_TransportEnergyCons!$B$4:$B$10000)*1,("-"=[1]OUT_TransportEnergyCons!$C$4:$C$10000)*1,ISNUMBER(SEARCH("T_C*mhy*GSL*s4",[1]OUT_TransportEnergyCons!$A$4:$A$10000))*1,[1]OUT_TransportEnergyCons!I$4:I$10000)</f>
        <v>9.6856668194214703E-6</v>
      </c>
    </row>
    <row r="1930" spans="2:11" x14ac:dyDescent="0.35">
      <c r="B1930" s="5" t="str">
        <f t="shared" si="1246"/>
        <v>SPS3</v>
      </c>
      <c r="C1930" s="5" t="str">
        <f t="shared" si="1244"/>
        <v>CH</v>
      </c>
      <c r="D1930" t="s">
        <v>1953</v>
      </c>
      <c r="E1930" t="str">
        <f t="shared" si="1245"/>
        <v>Million</v>
      </c>
      <c r="F1930" s="1" cm="1">
        <f t="array" ref="F1930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0" s="1" cm="1">
        <f t="array" ref="G1930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0" s="1" cm="1">
        <f t="array" ref="H1930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0" s="1" cm="1">
        <f t="array" ref="I1930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0" s="1" cm="1">
        <f t="array" ref="J1930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0" s="1" cm="1">
        <f t="array" ref="K1930">SUMPRODUCT(("Var_Cap"=[1]OUT_TransportEnergyCons!$B$4:$B$10000)*1,("-"=[1]OUT_TransportEnergyCons!$C$4:$C$10000)*1,ISNUMBER(SEARCH("T_C*hy*dsl*ext",[1]OUT_TransportEnergyCons!$A$4:$A$10000))*1,[1]OUT_TransportEnergyCons!I$4:I$10000)</f>
        <v>0</v>
      </c>
    </row>
    <row r="1931" spans="2:11" x14ac:dyDescent="0.35">
      <c r="B1931" s="5" t="str">
        <f t="shared" si="1246"/>
        <v>SPS3</v>
      </c>
      <c r="C1931" s="5" t="str">
        <f t="shared" si="1244"/>
        <v>CH</v>
      </c>
      <c r="D1931" t="s">
        <v>1954</v>
      </c>
      <c r="E1931" t="str">
        <f t="shared" si="1245"/>
        <v>Million</v>
      </c>
      <c r="F1931" s="1" cm="1">
        <f t="array" ref="F1931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1" s="1" cm="1">
        <f t="array" ref="G1931">SUMPRODUCT(("Var_Cap"=[1]OUT_TransportEnergyCons!$B$4:$B$10000)*1,("-"=[1]OUT_TransportEnergyCons!$C$4:$C$10000)*1,ISNUMBER(SEARCH("T_C*hy*dsl*s1",[1]OUT_TransportEnergyCons!$A$4:$A$10000))*1,[1]OUT_TransportEnergyCons!E$4:E$10000)</f>
        <v>4.1908912795185438E-2</v>
      </c>
      <c r="H1931" s="1" cm="1">
        <f t="array" ref="H1931">SUMPRODUCT(("Var_Cap"=[1]OUT_TransportEnergyCons!$B$4:$B$10000)*1,("-"=[1]OUT_TransportEnergyCons!$C$4:$C$10000)*1,ISNUMBER(SEARCH("T_C*hy*dsl*s1",[1]OUT_TransportEnergyCons!$A$4:$A$10000))*1,[1]OUT_TransportEnergyCons!F$4:F$10000)</f>
        <v>4.4327064735658075E-2</v>
      </c>
      <c r="I1931" s="1" cm="1">
        <f t="array" ref="I1931">SUMPRODUCT(("Var_Cap"=[1]OUT_TransportEnergyCons!$B$4:$B$10000)*1,("-"=[1]OUT_TransportEnergyCons!$C$4:$C$10000)*1,ISNUMBER(SEARCH("T_C*hy*dsl*s1",[1]OUT_TransportEnergyCons!$A$4:$A$10000))*1,[1]OUT_TransportEnergyCons!G$4:G$10000)</f>
        <v>4.5321173261968252E-2</v>
      </c>
      <c r="J1931" s="1" cm="1">
        <f t="array" ref="J1931">SUMPRODUCT(("Var_Cap"=[1]OUT_TransportEnergyCons!$B$4:$B$10000)*1,("-"=[1]OUT_TransportEnergyCons!$C$4:$C$10000)*1,ISNUMBER(SEARCH("T_C*hy*dsl*s1",[1]OUT_TransportEnergyCons!$A$4:$A$10000))*1,[1]OUT_TransportEnergyCons!H$4:H$10000)</f>
        <v>0.10267966564313462</v>
      </c>
      <c r="K1931" s="1" cm="1">
        <f t="array" ref="K1931">SUMPRODUCT(("Var_Cap"=[1]OUT_TransportEnergyCons!$B$4:$B$10000)*1,("-"=[1]OUT_TransportEnergyCons!$C$4:$C$10000)*1,ISNUMBER(SEARCH("T_C*hy*dsl*s1",[1]OUT_TransportEnergyCons!$A$4:$A$10000))*1,[1]OUT_TransportEnergyCons!I$4:I$10000)</f>
        <v>2.7200096072203992E-5</v>
      </c>
    </row>
    <row r="1932" spans="2:11" x14ac:dyDescent="0.35">
      <c r="B1932" s="5" t="str">
        <f t="shared" si="1246"/>
        <v>SPS3</v>
      </c>
      <c r="C1932" s="5" t="str">
        <f t="shared" si="1244"/>
        <v>CH</v>
      </c>
      <c r="D1932" t="s">
        <v>1955</v>
      </c>
      <c r="E1932" t="str">
        <f t="shared" si="1245"/>
        <v>Million</v>
      </c>
      <c r="F1932" s="1" cm="1">
        <f t="array" ref="F1932">SUMPRODUCT(("Var_Cap"=[1]OUT_TransportEnergyCons!$B$4:$B$10000)*1,("-"=[1]OUT_TransportEnergyCons!$C$4:$C$10000)*1,ISNUMBER(SEARCH("T_C*hy*dsl*s2",[1]OUT_TransportEnergyCons!$A$4:$A$10000))*1,[1]OUT_TransportEnergyCons!D$4:D$10000)</f>
        <v>2.5974838521753302E-4</v>
      </c>
      <c r="G1932" s="1" cm="1">
        <f t="array" ref="G1932">SUMPRODUCT(("Var_Cap"=[1]OUT_TransportEnergyCons!$B$4:$B$10000)*1,("-"=[1]OUT_TransportEnergyCons!$C$4:$C$10000)*1,ISNUMBER(SEARCH("T_C*hy*dsl*s2",[1]OUT_TransportEnergyCons!$A$4:$A$10000))*1,[1]OUT_TransportEnergyCons!E$4:E$10000)</f>
        <v>8.2294122428269209E-2</v>
      </c>
      <c r="H1932" s="1" cm="1">
        <f t="array" ref="H1932">SUMPRODUCT(("Var_Cap"=[1]OUT_TransportEnergyCons!$B$4:$B$10000)*1,("-"=[1]OUT_TransportEnergyCons!$C$4:$C$10000)*1,ISNUMBER(SEARCH("T_C*hy*dsl*s2",[1]OUT_TransportEnergyCons!$A$4:$A$10000))*1,[1]OUT_TransportEnergyCons!F$4:F$10000)</f>
        <v>0.19629053246036146</v>
      </c>
      <c r="I1932" s="1" cm="1">
        <f t="array" ref="I1932">SUMPRODUCT(("Var_Cap"=[1]OUT_TransportEnergyCons!$B$4:$B$10000)*1,("-"=[1]OUT_TransportEnergyCons!$C$4:$C$10000)*1,ISNUMBER(SEARCH("T_C*hy*dsl*s2",[1]OUT_TransportEnergyCons!$A$4:$A$10000))*1,[1]OUT_TransportEnergyCons!G$4:G$10000)</f>
        <v>0.43972143128723828</v>
      </c>
      <c r="J1932" s="1" cm="1">
        <f t="array" ref="J1932">SUMPRODUCT(("Var_Cap"=[1]OUT_TransportEnergyCons!$B$4:$B$10000)*1,("-"=[1]OUT_TransportEnergyCons!$C$4:$C$10000)*1,ISNUMBER(SEARCH("T_C*hy*dsl*s2",[1]OUT_TransportEnergyCons!$A$4:$A$10000))*1,[1]OUT_TransportEnergyCons!H$4:H$10000)</f>
        <v>0.19695110378607197</v>
      </c>
      <c r="K1932" s="1" cm="1">
        <f t="array" ref="K1932">SUMPRODUCT(("Var_Cap"=[1]OUT_TransportEnergyCons!$B$4:$B$10000)*1,("-"=[1]OUT_TransportEnergyCons!$C$4:$C$10000)*1,ISNUMBER(SEARCH("T_C*hy*dsl*s2",[1]OUT_TransportEnergyCons!$A$4:$A$10000))*1,[1]OUT_TransportEnergyCons!I$4:I$10000)</f>
        <v>1.5061959221320971E-5</v>
      </c>
    </row>
    <row r="1933" spans="2:11" x14ac:dyDescent="0.35">
      <c r="B1933" s="5" t="str">
        <f t="shared" si="1246"/>
        <v>SPS3</v>
      </c>
      <c r="C1933" s="5" t="str">
        <f t="shared" si="1244"/>
        <v>CH</v>
      </c>
      <c r="D1933" t="s">
        <v>1956</v>
      </c>
      <c r="E1933" t="str">
        <f t="shared" si="1245"/>
        <v>Million</v>
      </c>
      <c r="F1933" s="1" cm="1">
        <f t="array" ref="F1933">SUMPRODUCT(("Var_Cap"=[1]OUT_TransportEnergyCons!$B$4:$B$10000)*1,("-"=[1]OUT_TransportEnergyCons!$C$4:$C$10000)*1,ISNUMBER(SEARCH("T_C*hy*dsl*s3",[1]OUT_TransportEnergyCons!$A$4:$A$10000))*1,[1]OUT_TransportEnergyCons!D$4:D$10000)</f>
        <v>1.8558278815203305E-3</v>
      </c>
      <c r="G1933" s="1" cm="1">
        <f t="array" ref="G1933">SUMPRODUCT(("Var_Cap"=[1]OUT_TransportEnergyCons!$B$4:$B$10000)*1,("-"=[1]OUT_TransportEnergyCons!$C$4:$C$10000)*1,ISNUMBER(SEARCH("T_C*hy*dsl*s3",[1]OUT_TransportEnergyCons!$A$4:$A$10000))*1,[1]OUT_TransportEnergyCons!E$4:E$10000)</f>
        <v>3.9380276419554369E-3</v>
      </c>
      <c r="H1933" s="1" cm="1">
        <f t="array" ref="H1933">SUMPRODUCT(("Var_Cap"=[1]OUT_TransportEnergyCons!$B$4:$B$10000)*1,("-"=[1]OUT_TransportEnergyCons!$C$4:$C$10000)*1,ISNUMBER(SEARCH("T_C*hy*dsl*s3",[1]OUT_TransportEnergyCons!$A$4:$A$10000))*1,[1]OUT_TransportEnergyCons!F$4:F$10000)</f>
        <v>3.9027951650368558E-3</v>
      </c>
      <c r="I1933" s="1" cm="1">
        <f t="array" ref="I1933">SUMPRODUCT(("Var_Cap"=[1]OUT_TransportEnergyCons!$B$4:$B$10000)*1,("-"=[1]OUT_TransportEnergyCons!$C$4:$C$10000)*1,ISNUMBER(SEARCH("T_C*hy*dsl*s3",[1]OUT_TransportEnergyCons!$A$4:$A$10000))*1,[1]OUT_TransportEnergyCons!G$4:G$10000)</f>
        <v>3.2651828809343426E-3</v>
      </c>
      <c r="J1933" s="1" cm="1">
        <f t="array" ref="J1933">SUMPRODUCT(("Var_Cap"=[1]OUT_TransportEnergyCons!$B$4:$B$10000)*1,("-"=[1]OUT_TransportEnergyCons!$C$4:$C$10000)*1,ISNUMBER(SEARCH("T_C*hy*dsl*s3",[1]OUT_TransportEnergyCons!$A$4:$A$10000))*1,[1]OUT_TransportEnergyCons!H$4:H$10000)</f>
        <v>1.2334935962257006E-4</v>
      </c>
      <c r="K1933" s="1" cm="1">
        <f t="array" ref="K1933">SUMPRODUCT(("Var_Cap"=[1]OUT_TransportEnergyCons!$B$4:$B$10000)*1,("-"=[1]OUT_TransportEnergyCons!$C$4:$C$10000)*1,ISNUMBER(SEARCH("T_C*hy*dsl*s3",[1]OUT_TransportEnergyCons!$A$4:$A$10000))*1,[1]OUT_TransportEnergyCons!I$4:I$10000)</f>
        <v>1.1519771694417099E-5</v>
      </c>
    </row>
    <row r="1934" spans="2:11" x14ac:dyDescent="0.35">
      <c r="B1934" s="5" t="str">
        <f t="shared" si="1246"/>
        <v>SPS3</v>
      </c>
      <c r="C1934" s="5" t="str">
        <f t="shared" si="1244"/>
        <v>CH</v>
      </c>
      <c r="D1934" t="s">
        <v>1957</v>
      </c>
      <c r="E1934" t="str">
        <f t="shared" si="1245"/>
        <v>Million</v>
      </c>
      <c r="F1934" s="1" cm="1">
        <f t="array" ref="F1934">SUMPRODUCT(("Var_Cap"=[1]OUT_TransportEnergyCons!$B$4:$B$10000)*1,("-"=[1]OUT_TransportEnergyCons!$C$4:$C$10000)*1,ISNUMBER(SEARCH("T_C*hy*dsl*s4",[1]OUT_TransportEnergyCons!$A$4:$A$10000))*1,[1]OUT_TransportEnergyCons!D$4:D$10000)</f>
        <v>3.7727373532204034E-3</v>
      </c>
      <c r="G1934" s="1" cm="1">
        <f t="array" ref="G1934">SUMPRODUCT(("Var_Cap"=[1]OUT_TransportEnergyCons!$B$4:$B$10000)*1,("-"=[1]OUT_TransportEnergyCons!$C$4:$C$10000)*1,ISNUMBER(SEARCH("T_C*hy*dsl*s4",[1]OUT_TransportEnergyCons!$A$4:$A$10000))*1,[1]OUT_TransportEnergyCons!E$4:E$10000)</f>
        <v>9.226191605711297E-3</v>
      </c>
      <c r="H1934" s="1" cm="1">
        <f t="array" ref="H1934">SUMPRODUCT(("Var_Cap"=[1]OUT_TransportEnergyCons!$B$4:$B$10000)*1,("-"=[1]OUT_TransportEnergyCons!$C$4:$C$10000)*1,ISNUMBER(SEARCH("T_C*hy*dsl*s4",[1]OUT_TransportEnergyCons!$A$4:$A$10000))*1,[1]OUT_TransportEnergyCons!F$4:F$10000)</f>
        <v>8.9328417913568867E-3</v>
      </c>
      <c r="I1934" s="1" cm="1">
        <f t="array" ref="I1934">SUMPRODUCT(("Var_Cap"=[1]OUT_TransportEnergyCons!$B$4:$B$10000)*1,("-"=[1]OUT_TransportEnergyCons!$C$4:$C$10000)*1,ISNUMBER(SEARCH("T_C*hy*dsl*s4",[1]OUT_TransportEnergyCons!$A$4:$A$10000))*1,[1]OUT_TransportEnergyCons!G$4:G$10000)</f>
        <v>7.6094921700934305E-3</v>
      </c>
      <c r="J1934" s="1" cm="1">
        <f t="array" ref="J1934">SUMPRODUCT(("Var_Cap"=[1]OUT_TransportEnergyCons!$B$4:$B$10000)*1,("-"=[1]OUT_TransportEnergyCons!$C$4:$C$10000)*1,ISNUMBER(SEARCH("T_C*hy*dsl*s4",[1]OUT_TransportEnergyCons!$A$4:$A$10000))*1,[1]OUT_TransportEnergyCons!H$4:H$10000)</f>
        <v>1.3691822195396246E-4</v>
      </c>
      <c r="K1934" s="1" cm="1">
        <f t="array" ref="K1934">SUMPRODUCT(("Var_Cap"=[1]OUT_TransportEnergyCons!$B$4:$B$10000)*1,("-"=[1]OUT_TransportEnergyCons!$C$4:$C$10000)*1,ISNUMBER(SEARCH("T_C*hy*dsl*s4",[1]OUT_TransportEnergyCons!$A$4:$A$10000))*1,[1]OUT_TransportEnergyCons!I$4:I$10000)</f>
        <v>1.5348964977994161E-5</v>
      </c>
    </row>
    <row r="1935" spans="2:11" x14ac:dyDescent="0.35">
      <c r="B1935" s="5" t="str">
        <f t="shared" si="1246"/>
        <v>SPS3</v>
      </c>
      <c r="C1935" s="5" t="str">
        <f t="shared" si="1244"/>
        <v>CH</v>
      </c>
      <c r="D1935" t="s">
        <v>1958</v>
      </c>
      <c r="E1935" t="str">
        <f t="shared" si="1245"/>
        <v>Million</v>
      </c>
      <c r="F1935" s="1" cm="1">
        <f t="array" ref="F1935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35" s="1" cm="1">
        <f t="array" ref="G1935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35" s="1" cm="1">
        <f t="array" ref="H1935">SUMPRODUCT(("Var_Cap"=[1]OUT_TransportEnergyCons!$B$4:$B$10000)*1,("-"=[1]OUT_TransportEnergyCons!$C$4:$C$10000)*1,ISNUMBER(SEARCH("T_C*ICE*dsl*ext",[1]OUT_TransportEnergyCons!$A$4:$A$10000))*1,[1]OUT_TransportEnergyCons!F$4:F$10000)</f>
        <v>0.70637196913045941</v>
      </c>
      <c r="I1935" s="1" cm="1">
        <f t="array" ref="I1935">SUMPRODUCT(("Var_Cap"=[1]OUT_TransportEnergyCons!$B$4:$B$10000)*1,("-"=[1]OUT_TransportEnergyCons!$C$4:$C$10000)*1,ISNUMBER(SEARCH("T_C*ICE*dsl*ext",[1]OUT_TransportEnergyCons!$A$4:$A$10000))*1,[1]OUT_TransportEnergyCons!G$4:G$10000)</f>
        <v>0.35318596368401944</v>
      </c>
      <c r="J1935" s="1" cm="1">
        <f t="array" ref="J1935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SUMPRODUCT(("Var_Cap"=[1]OUT_TransportEnergyCons!$B$4:$B$10000)*1,("-"=[1]OUT_TransportEnergyCons!$C$4:$C$10000)*1,ISNUMBER(SEARCH("T_C*ICE*dsl*ext",[1]OUT_TransportEnergyCons!$A$4:$A$10000))*1,[1]OUT_TransportEnergyCons!I$4:I$10000)</f>
        <v>0</v>
      </c>
    </row>
    <row r="1936" spans="2:11" x14ac:dyDescent="0.35">
      <c r="B1936" s="5" t="str">
        <f t="shared" si="1246"/>
        <v>SPS3</v>
      </c>
      <c r="C1936" s="5" t="str">
        <f t="shared" si="1244"/>
        <v>CH</v>
      </c>
      <c r="D1936" t="s">
        <v>1959</v>
      </c>
      <c r="E1936" t="str">
        <f t="shared" si="1245"/>
        <v>Million</v>
      </c>
      <c r="F1936" s="1" cm="1">
        <f t="array" ref="F1936">SUMPRODUCT(("Var_Cap"=[1]OUT_TransportEnergyCons!$B$4:$B$10000)*1,("-"=[1]OUT_TransportEnergyCons!$C$4:$C$10000)*1,ISNUMBER(SEARCH("T_C*ICE*dsl*s1",[1]OUT_TransportEnergyCons!$A$4:$A$10000))*1,[1]OUT_TransportEnergyCons!D$4:D$10000)</f>
        <v>4.44499957593945E-4</v>
      </c>
      <c r="G1936" s="1" cm="1">
        <f t="array" ref="G1936">SUMPRODUCT(("Var_Cap"=[1]OUT_TransportEnergyCons!$B$4:$B$10000)*1,("-"=[1]OUT_TransportEnergyCons!$C$4:$C$10000)*1,ISNUMBER(SEARCH("T_C*ICE*dsl*s1",[1]OUT_TransportEnergyCons!$A$4:$A$10000))*1,[1]OUT_TransportEnergyCons!E$4:E$10000)</f>
        <v>6.0913158017956211E-4</v>
      </c>
      <c r="H1936" s="1" cm="1">
        <f t="array" ref="H1936">SUMPRODUCT(("Var_Cap"=[1]OUT_TransportEnergyCons!$B$4:$B$10000)*1,("-"=[1]OUT_TransportEnergyCons!$C$4:$C$10000)*1,ISNUMBER(SEARCH("T_C*ICE*dsl*s1",[1]OUT_TransportEnergyCons!$A$4:$A$10000))*1,[1]OUT_TransportEnergyCons!F$4:F$10000)</f>
        <v>7.7483906628622839E-4</v>
      </c>
      <c r="I1936" s="1" cm="1">
        <f t="array" ref="I1936">SUMPRODUCT(("Var_Cap"=[1]OUT_TransportEnergyCons!$B$4:$B$10000)*1,("-"=[1]OUT_TransportEnergyCons!$C$4:$C$10000)*1,ISNUMBER(SEARCH("T_C*ICE*dsl*s1",[1]OUT_TransportEnergyCons!$A$4:$A$10000))*1,[1]OUT_TransportEnergyCons!G$4:G$10000)</f>
        <v>6.8430629151047058E-4</v>
      </c>
      <c r="J1936" s="1" cm="1">
        <f t="array" ref="J1936">SUMPRODUCT(("Var_Cap"=[1]OUT_TransportEnergyCons!$B$4:$B$10000)*1,("-"=[1]OUT_TransportEnergyCons!$C$4:$C$10000)*1,ISNUMBER(SEARCH("T_C*ICE*dsl*s1",[1]OUT_TransportEnergyCons!$A$4:$A$10000))*1,[1]OUT_TransportEnergyCons!H$4:H$10000)</f>
        <v>9.8614210433110161E-5</v>
      </c>
      <c r="K1936" s="1" cm="1">
        <f t="array" ref="K1936">SUMPRODUCT(("Var_Cap"=[1]OUT_TransportEnergyCons!$B$4:$B$10000)*1,("-"=[1]OUT_TransportEnergyCons!$C$4:$C$10000)*1,ISNUMBER(SEARCH("T_C*ICE*dsl*s1",[1]OUT_TransportEnergyCons!$A$4:$A$10000))*1,[1]OUT_TransportEnergyCons!I$4:I$10000)</f>
        <v>2.0910370567397E-6</v>
      </c>
    </row>
    <row r="1937" spans="2:11" x14ac:dyDescent="0.35">
      <c r="B1937" s="5" t="str">
        <f t="shared" si="1246"/>
        <v>SPS3</v>
      </c>
      <c r="C1937" s="5" t="str">
        <f t="shared" si="1244"/>
        <v>CH</v>
      </c>
      <c r="D1937" t="s">
        <v>1960</v>
      </c>
      <c r="E1937" t="str">
        <f t="shared" si="1245"/>
        <v>Million</v>
      </c>
      <c r="F1937" s="1" cm="1">
        <f t="array" ref="F1937">SUMPRODUCT(("Var_Cap"=[1]OUT_TransportEnergyCons!$B$4:$B$10000)*1,("-"=[1]OUT_TransportEnergyCons!$C$4:$C$10000)*1,ISNUMBER(SEARCH("T_C*ICE*dsl*s2",[1]OUT_TransportEnergyCons!$A$4:$A$10000))*1,[1]OUT_TransportEnergyCons!D$4:D$10000)</f>
        <v>6.4567896102072628E-2</v>
      </c>
      <c r="G1937" s="1" cm="1">
        <f t="array" ref="G1937">SUMPRODUCT(("Var_Cap"=[1]OUT_TransportEnergyCons!$B$4:$B$10000)*1,("-"=[1]OUT_TransportEnergyCons!$C$4:$C$10000)*1,ISNUMBER(SEARCH("T_C*ICE*dsl*s2",[1]OUT_TransportEnergyCons!$A$4:$A$10000))*1,[1]OUT_TransportEnergyCons!E$4:E$10000)</f>
        <v>6.8565300112642114E-2</v>
      </c>
      <c r="H1937" s="1" cm="1">
        <f t="array" ref="H1937">SUMPRODUCT(("Var_Cap"=[1]OUT_TransportEnergyCons!$B$4:$B$10000)*1,("-"=[1]OUT_TransportEnergyCons!$C$4:$C$10000)*1,ISNUMBER(SEARCH("T_C*ICE*dsl*s2",[1]OUT_TransportEnergyCons!$A$4:$A$10000))*1,[1]OUT_TransportEnergyCons!F$4:F$10000)</f>
        <v>6.8032759277035781E-2</v>
      </c>
      <c r="I1937" s="1" cm="1">
        <f t="array" ref="I1937">SUMPRODUCT(("Var_Cap"=[1]OUT_TransportEnergyCons!$B$4:$B$10000)*1,("-"=[1]OUT_TransportEnergyCons!$C$4:$C$10000)*1,ISNUMBER(SEARCH("T_C*ICE*dsl*s2",[1]OUT_TransportEnergyCons!$A$4:$A$10000))*1,[1]OUT_TransportEnergyCons!G$4:G$10000)</f>
        <v>5.1645501408771909E-2</v>
      </c>
      <c r="J1937" s="1" cm="1">
        <f t="array" ref="J1937">SUMPRODUCT(("Var_Cap"=[1]OUT_TransportEnergyCons!$B$4:$B$10000)*1,("-"=[1]OUT_TransportEnergyCons!$C$4:$C$10000)*1,ISNUMBER(SEARCH("T_C*ICE*dsl*s2",[1]OUT_TransportEnergyCons!$A$4:$A$10000))*1,[1]OUT_TransportEnergyCons!H$4:H$10000)</f>
        <v>5.3832832014220319E-5</v>
      </c>
      <c r="K1937" s="1" cm="1">
        <f t="array" ref="K1937">SUMPRODUCT(("Var_Cap"=[1]OUT_TransportEnergyCons!$B$4:$B$10000)*1,("-"=[1]OUT_TransportEnergyCons!$C$4:$C$10000)*1,ISNUMBER(SEARCH("T_C*ICE*dsl*s2",[1]OUT_TransportEnergyCons!$A$4:$A$10000))*1,[1]OUT_TransportEnergyCons!I$4:I$10000)</f>
        <v>9.2649650617887999E-7</v>
      </c>
    </row>
    <row r="1938" spans="2:11" x14ac:dyDescent="0.35">
      <c r="B1938" s="5" t="str">
        <f t="shared" si="1246"/>
        <v>SPS3</v>
      </c>
      <c r="C1938" s="5" t="str">
        <f t="shared" si="1244"/>
        <v>CH</v>
      </c>
      <c r="D1938" t="s">
        <v>1961</v>
      </c>
      <c r="E1938" t="str">
        <f t="shared" si="1245"/>
        <v>Million</v>
      </c>
      <c r="F1938" s="1" cm="1">
        <f t="array" ref="F1938">SUMPRODUCT(("Var_Cap"=[1]OUT_TransportEnergyCons!$B$4:$B$10000)*1,("-"=[1]OUT_TransportEnergyCons!$C$4:$C$10000)*1,ISNUMBER(SEARCH("T_C*ICE*dsl*s3",[1]OUT_TransportEnergyCons!$A$4:$A$10000))*1,[1]OUT_TransportEnergyCons!D$4:D$10000)</f>
        <v>0.18323998865811728</v>
      </c>
      <c r="G1938" s="1" cm="1">
        <f t="array" ref="G1938">SUMPRODUCT(("Var_Cap"=[1]OUT_TransportEnergyCons!$B$4:$B$10000)*1,("-"=[1]OUT_TransportEnergyCons!$C$4:$C$10000)*1,ISNUMBER(SEARCH("T_C*ICE*dsl*s3",[1]OUT_TransportEnergyCons!$A$4:$A$10000))*1,[1]OUT_TransportEnergyCons!E$4:E$10000)</f>
        <v>0.19506811156321163</v>
      </c>
      <c r="H1938" s="1" cm="1">
        <f t="array" ref="H1938">SUMPRODUCT(("Var_Cap"=[1]OUT_TransportEnergyCons!$B$4:$B$10000)*1,("-"=[1]OUT_TransportEnergyCons!$C$4:$C$10000)*1,ISNUMBER(SEARCH("T_C*ICE*dsl*s3",[1]OUT_TransportEnergyCons!$A$4:$A$10000))*1,[1]OUT_TransportEnergyCons!F$4:F$10000)</f>
        <v>0.19310661262841924</v>
      </c>
      <c r="I1938" s="1" cm="1">
        <f t="array" ref="I1938">SUMPRODUCT(("Var_Cap"=[1]OUT_TransportEnergyCons!$B$4:$B$10000)*1,("-"=[1]OUT_TransportEnergyCons!$C$4:$C$10000)*1,ISNUMBER(SEARCH("T_C*ICE*dsl*s3",[1]OUT_TransportEnergyCons!$A$4:$A$10000))*1,[1]OUT_TransportEnergyCons!G$4:G$10000)</f>
        <v>0.15009212286963941</v>
      </c>
      <c r="J1938" s="1" cm="1">
        <f t="array" ref="J1938">SUMPRODUCT(("Var_Cap"=[1]OUT_TransportEnergyCons!$B$4:$B$10000)*1,("-"=[1]OUT_TransportEnergyCons!$C$4:$C$10000)*1,ISNUMBER(SEARCH("T_C*ICE*dsl*s3",[1]OUT_TransportEnergyCons!$A$4:$A$10000))*1,[1]OUT_TransportEnergyCons!H$4:H$10000)</f>
        <v>4.1468711974391867E-5</v>
      </c>
      <c r="K1938" s="1" cm="1">
        <f t="array" ref="K1938">SUMPRODUCT(("Var_Cap"=[1]OUT_TransportEnergyCons!$B$4:$B$10000)*1,("-"=[1]OUT_TransportEnergyCons!$C$4:$C$10000)*1,ISNUMBER(SEARCH("T_C*ICE*dsl*s3",[1]OUT_TransportEnergyCons!$A$4:$A$10000))*1,[1]OUT_TransportEnergyCons!I$4:I$10000)</f>
        <v>6.9983888519791981E-7</v>
      </c>
    </row>
    <row r="1939" spans="2:11" x14ac:dyDescent="0.35">
      <c r="B1939" s="5" t="str">
        <f t="shared" si="1246"/>
        <v>SPS3</v>
      </c>
      <c r="C1939" s="5" t="str">
        <f t="shared" si="1244"/>
        <v>CH</v>
      </c>
      <c r="D1939" t="s">
        <v>1962</v>
      </c>
      <c r="E1939" t="str">
        <f t="shared" si="1245"/>
        <v>Million</v>
      </c>
      <c r="F1939" s="1" cm="1">
        <f t="array" ref="F1939">SUMPRODUCT(("Var_Cap"=[1]OUT_TransportEnergyCons!$B$4:$B$10000)*1,("-"=[1]OUT_TransportEnergyCons!$C$4:$C$10000)*1,ISNUMBER(SEARCH("T_C*ICE*dsl*s4",[1]OUT_TransportEnergyCons!$A$4:$A$10000))*1,[1]OUT_TransportEnergyCons!D$4:D$10000)</f>
        <v>7.126154434888117E-2</v>
      </c>
      <c r="G1939" s="1" cm="1">
        <f t="array" ref="G1939">SUMPRODUCT(("Var_Cap"=[1]OUT_TransportEnergyCons!$B$4:$B$10000)*1,("-"=[1]OUT_TransportEnergyCons!$C$4:$C$10000)*1,ISNUMBER(SEARCH("T_C*ICE*dsl*s4",[1]OUT_TransportEnergyCons!$A$4:$A$10000))*1,[1]OUT_TransportEnergyCons!E$4:E$10000)</f>
        <v>7.9362508190934947E-2</v>
      </c>
      <c r="H1939" s="1" cm="1">
        <f t="array" ref="H1939">SUMPRODUCT(("Var_Cap"=[1]OUT_TransportEnergyCons!$B$4:$B$10000)*1,("-"=[1]OUT_TransportEnergyCons!$C$4:$C$10000)*1,ISNUMBER(SEARCH("T_C*ICE*dsl*s4",[1]OUT_TransportEnergyCons!$A$4:$A$10000))*1,[1]OUT_TransportEnergyCons!F$4:F$10000)</f>
        <v>7.8260483979659262E-2</v>
      </c>
      <c r="I1939" s="1" cm="1">
        <f t="array" ref="I1939">SUMPRODUCT(("Var_Cap"=[1]OUT_TransportEnergyCons!$B$4:$B$10000)*1,("-"=[1]OUT_TransportEnergyCons!$C$4:$C$10000)*1,ISNUMBER(SEARCH("T_C*ICE*dsl*s4",[1]OUT_TransportEnergyCons!$A$4:$A$10000))*1,[1]OUT_TransportEnergyCons!G$4:G$10000)</f>
        <v>6.1130451627622928E-2</v>
      </c>
      <c r="J1939" s="1" cm="1">
        <f t="array" ref="J1939">SUMPRODUCT(("Var_Cap"=[1]OUT_TransportEnergyCons!$B$4:$B$10000)*1,("-"=[1]OUT_TransportEnergyCons!$C$4:$C$10000)*1,ISNUMBER(SEARCH("T_C*ICE*dsl*s4",[1]OUT_TransportEnergyCons!$A$4:$A$10000))*1,[1]OUT_TransportEnergyCons!H$4:H$10000)</f>
        <v>2.8052084080742055E-5</v>
      </c>
      <c r="K1939" s="1" cm="1">
        <f t="array" ref="K1939">SUMPRODUCT(("Var_Cap"=[1]OUT_TransportEnergyCons!$B$4:$B$10000)*1,("-"=[1]OUT_TransportEnergyCons!$C$4:$C$10000)*1,ISNUMBER(SEARCH("T_C*ICE*dsl*s4",[1]OUT_TransportEnergyCons!$A$4:$A$10000))*1,[1]OUT_TransportEnergyCons!I$4:I$10000)</f>
        <v>9.0405026547869967E-7</v>
      </c>
    </row>
    <row r="1940" spans="2:11" x14ac:dyDescent="0.35">
      <c r="B1940" s="5" t="str">
        <f t="shared" si="1246"/>
        <v>SPS3</v>
      </c>
      <c r="C1940" s="5" t="str">
        <f t="shared" si="1244"/>
        <v>CH</v>
      </c>
      <c r="D1940" t="s">
        <v>1963</v>
      </c>
      <c r="E1940" t="str">
        <f t="shared" si="1245"/>
        <v>Million</v>
      </c>
      <c r="F1940" s="1" cm="1">
        <f t="array" ref="F1940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0" s="1" cm="1">
        <f t="array" ref="G1940">SUMPRODUCT(("Var_Cap"=[1]OUT_TransportEnergyCons!$B$4:$B$10000)*1,("-"=[1]OUT_TransportEnergyCons!$C$4:$C$10000)*1,ISNUMBER(SEARCH("T_C*mhy*dsl*s1",[1]OUT_TransportEnergyCons!$A$4:$A$10000))*1,[1]OUT_TransportEnergyCons!E$4:E$10000)</f>
        <v>7.2609322860345903E-5</v>
      </c>
      <c r="H1940" s="1" cm="1">
        <f t="array" ref="H1940">SUMPRODUCT(("Var_Cap"=[1]OUT_TransportEnergyCons!$B$4:$B$10000)*1,("-"=[1]OUT_TransportEnergyCons!$C$4:$C$10000)*1,ISNUMBER(SEARCH("T_C*mhy*dsl*s1",[1]OUT_TransportEnergyCons!$A$4:$A$10000))*1,[1]OUT_TransportEnergyCons!F$4:F$10000)</f>
        <v>2.10684892711047E-4</v>
      </c>
      <c r="I1940" s="1" cm="1">
        <f t="array" ref="I1940">SUMPRODUCT(("Var_Cap"=[1]OUT_TransportEnergyCons!$B$4:$B$10000)*1,("-"=[1]OUT_TransportEnergyCons!$C$4:$C$10000)*1,ISNUMBER(SEARCH("T_C*mhy*dsl*s1",[1]OUT_TransportEnergyCons!$A$4:$A$10000))*1,[1]OUT_TransportEnergyCons!G$4:G$10000)</f>
        <v>3.1612333179624502E-4</v>
      </c>
      <c r="J1940" s="1" cm="1">
        <f t="array" ref="J1940">SUMPRODUCT(("Var_Cap"=[1]OUT_TransportEnergyCons!$B$4:$B$10000)*1,("-"=[1]OUT_TransportEnergyCons!$C$4:$C$10000)*1,ISNUMBER(SEARCH("T_C*mhy*dsl*s1",[1]OUT_TransportEnergyCons!$A$4:$A$10000))*1,[1]OUT_TransportEnergyCons!H$4:H$10000)</f>
        <v>1.0003387919575E-4</v>
      </c>
      <c r="K1940" s="1" cm="1">
        <f t="array" ref="K1940">SUMPRODUCT(("Var_Cap"=[1]OUT_TransportEnergyCons!$B$4:$B$10000)*1,("-"=[1]OUT_TransportEnergyCons!$C$4:$C$10000)*1,ISNUMBER(SEARCH("T_C*mhy*dsl*s1",[1]OUT_TransportEnergyCons!$A$4:$A$10000))*1,[1]OUT_TransportEnergyCons!I$4:I$10000)</f>
        <v>1.2204407324204101E-5</v>
      </c>
    </row>
    <row r="1941" spans="2:11" x14ac:dyDescent="0.35">
      <c r="B1941" s="5" t="str">
        <f t="shared" si="1246"/>
        <v>SPS3</v>
      </c>
      <c r="C1941" s="5" t="str">
        <f t="shared" si="1244"/>
        <v>CH</v>
      </c>
      <c r="D1941" t="s">
        <v>1964</v>
      </c>
      <c r="E1941" t="str">
        <f t="shared" si="1245"/>
        <v>Million</v>
      </c>
      <c r="F1941" s="1" cm="1">
        <f t="array" ref="F1941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1" s="1" cm="1">
        <f t="array" ref="G1941">SUMPRODUCT(("Var_Cap"=[1]OUT_TransportEnergyCons!$B$4:$B$10000)*1,("-"=[1]OUT_TransportEnergyCons!$C$4:$C$10000)*1,ISNUMBER(SEARCH("T_C*mhy*dsl*s2",[1]OUT_TransportEnergyCons!$A$4:$A$10000))*1,[1]OUT_TransportEnergyCons!E$4:E$10000)</f>
        <v>3.1361139814799E-5</v>
      </c>
      <c r="H1941" s="1" cm="1">
        <f t="array" ref="H1941">SUMPRODUCT(("Var_Cap"=[1]OUT_TransportEnergyCons!$B$4:$B$10000)*1,("-"=[1]OUT_TransportEnergyCons!$C$4:$C$10000)*1,ISNUMBER(SEARCH("T_C*mhy*dsl*s2",[1]OUT_TransportEnergyCons!$A$4:$A$10000))*1,[1]OUT_TransportEnergyCons!F$4:F$10000)</f>
        <v>9.8330653344795896E-5</v>
      </c>
      <c r="I1941" s="1" cm="1">
        <f t="array" ref="I1941">SUMPRODUCT(("Var_Cap"=[1]OUT_TransportEnergyCons!$B$4:$B$10000)*1,("-"=[1]OUT_TransportEnergyCons!$C$4:$C$10000)*1,ISNUMBER(SEARCH("T_C*mhy*dsl*s2",[1]OUT_TransportEnergyCons!$A$4:$A$10000))*1,[1]OUT_TransportEnergyCons!G$4:G$10000)</f>
        <v>1.6825602096715101E-4</v>
      </c>
      <c r="J1941" s="1" cm="1">
        <f t="array" ref="J1941">SUMPRODUCT(("Var_Cap"=[1]OUT_TransportEnergyCons!$B$4:$B$10000)*1,("-"=[1]OUT_TransportEnergyCons!$C$4:$C$10000)*1,ISNUMBER(SEARCH("T_C*mhy*dsl*s2",[1]OUT_TransportEnergyCons!$A$4:$A$10000))*1,[1]OUT_TransportEnergyCons!H$4:H$10000)</f>
        <v>5.6604697288882303E-5</v>
      </c>
      <c r="K1941" s="1" cm="1">
        <f t="array" ref="K1941">SUMPRODUCT(("Var_Cap"=[1]OUT_TransportEnergyCons!$B$4:$B$10000)*1,("-"=[1]OUT_TransportEnergyCons!$C$4:$C$10000)*1,ISNUMBER(SEARCH("T_C*mhy*dsl*s2",[1]OUT_TransportEnergyCons!$A$4:$A$10000))*1,[1]OUT_TransportEnergyCons!I$4:I$10000)</f>
        <v>5.9563171626207899E-6</v>
      </c>
    </row>
    <row r="1942" spans="2:11" x14ac:dyDescent="0.35">
      <c r="B1942" s="5" t="str">
        <f t="shared" si="1246"/>
        <v>SPS3</v>
      </c>
      <c r="C1942" s="5" t="str">
        <f t="shared" si="1244"/>
        <v>CH</v>
      </c>
      <c r="D1942" t="s">
        <v>1965</v>
      </c>
      <c r="E1942" t="str">
        <f t="shared" si="1245"/>
        <v>Million</v>
      </c>
      <c r="F1942" s="1" cm="1">
        <f t="array" ref="F1942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2" s="1" cm="1">
        <f t="array" ref="G1942">SUMPRODUCT(("Var_Cap"=[1]OUT_TransportEnergyCons!$B$4:$B$10000)*1,("-"=[1]OUT_TransportEnergyCons!$C$4:$C$10000)*1,ISNUMBER(SEARCH("T_C*mhy*dsl*s3",[1]OUT_TransportEnergyCons!$A$4:$A$10000))*1,[1]OUT_TransportEnergyCons!E$4:E$10000)</f>
        <v>3.7458677549731801E-5</v>
      </c>
      <c r="H1942" s="1" cm="1">
        <f t="array" ref="H1942">SUMPRODUCT(("Var_Cap"=[1]OUT_TransportEnergyCons!$B$4:$B$10000)*1,("-"=[1]OUT_TransportEnergyCons!$C$4:$C$10000)*1,ISNUMBER(SEARCH("T_C*mhy*dsl*s3",[1]OUT_TransportEnergyCons!$A$4:$A$10000))*1,[1]OUT_TransportEnergyCons!F$4:F$10000)</f>
        <v>1.02135438428612E-4</v>
      </c>
      <c r="I1942" s="1" cm="1">
        <f t="array" ref="I1942">SUMPRODUCT(("Var_Cap"=[1]OUT_TransportEnergyCons!$B$4:$B$10000)*1,("-"=[1]OUT_TransportEnergyCons!$C$4:$C$10000)*1,ISNUMBER(SEARCH("T_C*mhy*dsl*s3",[1]OUT_TransportEnergyCons!$A$4:$A$10000))*1,[1]OUT_TransportEnergyCons!G$4:G$10000)</f>
        <v>1.65686110136125E-4</v>
      </c>
      <c r="J1942" s="1" cm="1">
        <f t="array" ref="J1942">SUMPRODUCT(("Var_Cap"=[1]OUT_TransportEnergyCons!$B$4:$B$10000)*1,("-"=[1]OUT_TransportEnergyCons!$C$4:$C$10000)*1,ISNUMBER(SEARCH("T_C*mhy*dsl*s3",[1]OUT_TransportEnergyCons!$A$4:$A$10000))*1,[1]OUT_TransportEnergyCons!H$4:H$10000)</f>
        <v>5.0183417363412497E-5</v>
      </c>
      <c r="K1942" s="1" cm="1">
        <f t="array" ref="K1942">SUMPRODUCT(("Var_Cap"=[1]OUT_TransportEnergyCons!$B$4:$B$10000)*1,("-"=[1]OUT_TransportEnergyCons!$C$4:$C$10000)*1,ISNUMBER(SEARCH("T_C*mhy*dsl*s3",[1]OUT_TransportEnergyCons!$A$4:$A$10000))*1,[1]OUT_TransportEnergyCons!I$4:I$10000)</f>
        <v>4.5274153369569497E-6</v>
      </c>
    </row>
    <row r="1943" spans="2:11" x14ac:dyDescent="0.35">
      <c r="B1943" s="5" t="str">
        <f t="shared" si="1246"/>
        <v>SPS3</v>
      </c>
      <c r="C1943" s="5" t="str">
        <f t="shared" si="1244"/>
        <v>CH</v>
      </c>
      <c r="D1943" t="s">
        <v>1966</v>
      </c>
      <c r="E1943" t="str">
        <f t="shared" si="1245"/>
        <v>Million</v>
      </c>
      <c r="F1943" s="1" cm="1">
        <f t="array" ref="F1943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3" s="1" cm="1">
        <f t="array" ref="G1943">SUMPRODUCT(("Var_Cap"=[1]OUT_TransportEnergyCons!$B$4:$B$10000)*1,("-"=[1]OUT_TransportEnergyCons!$C$4:$C$10000)*1,ISNUMBER(SEARCH("T_C*mhy*dsl*s4",[1]OUT_TransportEnergyCons!$A$4:$A$10000))*1,[1]OUT_TransportEnergyCons!E$4:E$10000)</f>
        <v>2.7405749199453401E-5</v>
      </c>
      <c r="H1943" s="1" cm="1">
        <f t="array" ref="H1943">SUMPRODUCT(("Var_Cap"=[1]OUT_TransportEnergyCons!$B$4:$B$10000)*1,("-"=[1]OUT_TransportEnergyCons!$C$4:$C$10000)*1,ISNUMBER(SEARCH("T_C*mhy*dsl*s4",[1]OUT_TransportEnergyCons!$A$4:$A$10000))*1,[1]OUT_TransportEnergyCons!F$4:F$10000)</f>
        <v>6.4845067765507297E-5</v>
      </c>
      <c r="I1943" s="1" cm="1">
        <f t="array" ref="I1943">SUMPRODUCT(("Var_Cap"=[1]OUT_TransportEnergyCons!$B$4:$B$10000)*1,("-"=[1]OUT_TransportEnergyCons!$C$4:$C$10000)*1,ISNUMBER(SEARCH("T_C*mhy*dsl*s4",[1]OUT_TransportEnergyCons!$A$4:$A$10000))*1,[1]OUT_TransportEnergyCons!G$4:G$10000)</f>
        <v>9.2872228464753803E-5</v>
      </c>
      <c r="J1943" s="1" cm="1">
        <f t="array" ref="J1943">SUMPRODUCT(("Var_Cap"=[1]OUT_TransportEnergyCons!$B$4:$B$10000)*1,("-"=[1]OUT_TransportEnergyCons!$C$4:$C$10000)*1,ISNUMBER(SEARCH("T_C*mhy*dsl*s4",[1]OUT_TransportEnergyCons!$A$4:$A$10000))*1,[1]OUT_TransportEnergyCons!H$4:H$10000)</f>
        <v>3.14861998648672E-5</v>
      </c>
      <c r="K1943" s="1" cm="1">
        <f t="array" ref="K1943">SUMPRODUCT(("Var_Cap"=[1]OUT_TransportEnergyCons!$B$4:$B$10000)*1,("-"=[1]OUT_TransportEnergyCons!$C$4:$C$10000)*1,ISNUMBER(SEARCH("T_C*mhy*dsl*s4",[1]OUT_TransportEnergyCons!$A$4:$A$10000))*1,[1]OUT_TransportEnergyCons!I$4:I$10000)</f>
        <v>4.6240935152430296E-6</v>
      </c>
    </row>
    <row r="1944" spans="2:11" x14ac:dyDescent="0.35">
      <c r="B1944" s="5" t="str">
        <f t="shared" si="1246"/>
        <v>SPS3</v>
      </c>
      <c r="C1944" s="5" t="str">
        <f t="shared" si="1244"/>
        <v>CH</v>
      </c>
      <c r="D1944" t="s">
        <v>1967</v>
      </c>
      <c r="E1944" t="str">
        <f t="shared" si="1245"/>
        <v>Million</v>
      </c>
      <c r="F1944" s="1" cm="1">
        <f t="array" ref="F1944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4" s="1" cm="1">
        <f t="array" ref="G1944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4" s="1" cm="1">
        <f t="array" ref="H1944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4" s="1" cm="1">
        <f t="array" ref="I1944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4" s="1" cm="1">
        <f t="array" ref="J1944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4" s="1" cm="1">
        <f t="array" ref="K1944">SUMPRODUCT(("Var_Cap"=[1]OUT_TransportEnergyCons!$B$4:$B$10000)*1,("-"=[1]OUT_TransportEnergyCons!$C$4:$C$10000)*1,ISNUMBER(SEARCH("T_C*ICE*nga*ext",[1]OUT_TransportEnergyCons!$A$4:$A$10000))*1,[1]OUT_TransportEnergyCons!I$4:I$10000)</f>
        <v>0</v>
      </c>
    </row>
    <row r="1945" spans="2:11" x14ac:dyDescent="0.35">
      <c r="B1945" s="5" t="str">
        <f t="shared" si="1246"/>
        <v>SPS3</v>
      </c>
      <c r="C1945" s="5" t="str">
        <f t="shared" si="1244"/>
        <v>CH</v>
      </c>
      <c r="D1945" t="s">
        <v>1968</v>
      </c>
      <c r="E1945" t="str">
        <f t="shared" si="1245"/>
        <v>Million</v>
      </c>
      <c r="F1945" s="1" cm="1">
        <f t="array" ref="F1945">SUMPRODUCT(("Var_Cap"=[1]OUT_TransportEnergyCons!$B$4:$B$10000)*1,("-"=[1]OUT_TransportEnergyCons!$C$4:$C$10000)*1,ISNUMBER(SEARCH("T_C*ICE*nga*s1",[1]OUT_TransportEnergyCons!$A$4:$A$10000))*1,[1]OUT_TransportEnergyCons!D$4:D$10000)</f>
        <v>2.5586419413836599E-4</v>
      </c>
      <c r="G1945" s="1" cm="1">
        <f t="array" ref="G1945">SUMPRODUCT(("Var_Cap"=[1]OUT_TransportEnergyCons!$B$4:$B$10000)*1,("-"=[1]OUT_TransportEnergyCons!$C$4:$C$10000)*1,ISNUMBER(SEARCH("T_C*ICE*nga*s1",[1]OUT_TransportEnergyCons!$A$4:$A$10000))*1,[1]OUT_TransportEnergyCons!E$4:E$10000)</f>
        <v>1.5426639237222278E-4</v>
      </c>
      <c r="H1945" s="1" cm="1">
        <f t="array" ref="H1945">SUMPRODUCT(("Var_Cap"=[1]OUT_TransportEnergyCons!$B$4:$B$10000)*1,("-"=[1]OUT_TransportEnergyCons!$C$4:$C$10000)*1,ISNUMBER(SEARCH("T_C*ICE*nga*s1",[1]OUT_TransportEnergyCons!$A$4:$A$10000))*1,[1]OUT_TransportEnergyCons!F$4:F$10000)</f>
        <v>1.6261889718117528E-4</v>
      </c>
      <c r="I1945" s="1" cm="1">
        <f t="array" ref="I1945">SUMPRODUCT(("Var_Cap"=[1]OUT_TransportEnergyCons!$B$4:$B$10000)*1,("-"=[1]OUT_TransportEnergyCons!$C$4:$C$10000)*1,ISNUMBER(SEARCH("T_C*ICE*nga*s1",[1]OUT_TransportEnergyCons!$A$4:$A$10000))*1,[1]OUT_TransportEnergyCons!G$4:G$10000)</f>
        <v>3.6398473127101692E-5</v>
      </c>
      <c r="J1945" s="1" cm="1">
        <f t="array" ref="J1945">SUMPRODUCT(("Var_Cap"=[1]OUT_TransportEnergyCons!$B$4:$B$10000)*1,("-"=[1]OUT_TransportEnergyCons!$C$4:$C$10000)*1,ISNUMBER(SEARCH("T_C*ICE*nga*s1",[1]OUT_TransportEnergyCons!$A$4:$A$10000))*1,[1]OUT_TransportEnergyCons!H$4:H$10000)</f>
        <v>1.9863706614867922E-5</v>
      </c>
      <c r="K1945" s="1" cm="1">
        <f t="array" ref="K1945">SUMPRODUCT(("Var_Cap"=[1]OUT_TransportEnergyCons!$B$4:$B$10000)*1,("-"=[1]OUT_TransportEnergyCons!$C$4:$C$10000)*1,ISNUMBER(SEARCH("T_C*ICE*nga*s1",[1]OUT_TransportEnergyCons!$A$4:$A$10000))*1,[1]OUT_TransportEnergyCons!I$4:I$10000)</f>
        <v>4.0460329887074458E-6</v>
      </c>
    </row>
    <row r="1946" spans="2:11" x14ac:dyDescent="0.35">
      <c r="B1946" s="5" t="str">
        <f t="shared" si="1246"/>
        <v>SPS3</v>
      </c>
      <c r="C1946" s="5" t="str">
        <f t="shared" si="1244"/>
        <v>CH</v>
      </c>
      <c r="D1946" t="s">
        <v>1969</v>
      </c>
      <c r="E1946" t="str">
        <f t="shared" si="1245"/>
        <v>Million</v>
      </c>
      <c r="F1946" s="1" cm="1">
        <f t="array" ref="F1946">SUMPRODUCT(("Var_Cap"=[1]OUT_TransportEnergyCons!$B$4:$B$10000)*1,("-"=[1]OUT_TransportEnergyCons!$C$4:$C$10000)*1,ISNUMBER(SEARCH("T_C*ICE*nga*s2",[1]OUT_TransportEnergyCons!$A$4:$A$10000))*1,[1]OUT_TransportEnergyCons!D$4:D$10000)</f>
        <v>2.5788999110840367E-3</v>
      </c>
      <c r="G1946" s="1" cm="1">
        <f t="array" ref="G1946">SUMPRODUCT(("Var_Cap"=[1]OUT_TransportEnergyCons!$B$4:$B$10000)*1,("-"=[1]OUT_TransportEnergyCons!$C$4:$C$10000)*1,ISNUMBER(SEARCH("T_C*ICE*nga*s2",[1]OUT_TransportEnergyCons!$A$4:$A$10000))*1,[1]OUT_TransportEnergyCons!E$4:E$10000)</f>
        <v>4.0257513014045967E-4</v>
      </c>
      <c r="H1946" s="1" cm="1">
        <f t="array" ref="H1946">SUMPRODUCT(("Var_Cap"=[1]OUT_TransportEnergyCons!$B$4:$B$10000)*1,("-"=[1]OUT_TransportEnergyCons!$C$4:$C$10000)*1,ISNUMBER(SEARCH("T_C*ICE*nga*s2",[1]OUT_TransportEnergyCons!$A$4:$A$10000))*1,[1]OUT_TransportEnergyCons!F$4:F$10000)</f>
        <v>4.0664957276777226E-4</v>
      </c>
      <c r="I1946" s="1" cm="1">
        <f t="array" ref="I1946">SUMPRODUCT(("Var_Cap"=[1]OUT_TransportEnergyCons!$B$4:$B$10000)*1,("-"=[1]OUT_TransportEnergyCons!$C$4:$C$10000)*1,ISNUMBER(SEARCH("T_C*ICE*nga*s2",[1]OUT_TransportEnergyCons!$A$4:$A$10000))*1,[1]OUT_TransportEnergyCons!G$4:G$10000)</f>
        <v>5.9456766361322758E-5</v>
      </c>
      <c r="J1946" s="1" cm="1">
        <f t="array" ref="J1946">SUMPRODUCT(("Var_Cap"=[1]OUT_TransportEnergyCons!$B$4:$B$10000)*1,("-"=[1]OUT_TransportEnergyCons!$C$4:$C$10000)*1,ISNUMBER(SEARCH("T_C*ICE*nga*s2",[1]OUT_TransportEnergyCons!$A$4:$A$10000))*1,[1]OUT_TransportEnergyCons!H$4:H$10000)</f>
        <v>1.7442328909183963E-5</v>
      </c>
      <c r="K1946" s="1" cm="1">
        <f t="array" ref="K1946">SUMPRODUCT(("Var_Cap"=[1]OUT_TransportEnergyCons!$B$4:$B$10000)*1,("-"=[1]OUT_TransportEnergyCons!$C$4:$C$10000)*1,ISNUMBER(SEARCH("T_C*ICE*nga*s2",[1]OUT_TransportEnergyCons!$A$4:$A$10000))*1,[1]OUT_TransportEnergyCons!I$4:I$10000)</f>
        <v>2.0296970477113999E-6</v>
      </c>
    </row>
    <row r="1947" spans="2:11" x14ac:dyDescent="0.35">
      <c r="B1947" s="5" t="str">
        <f t="shared" si="1246"/>
        <v>SPS3</v>
      </c>
      <c r="C1947" s="5" t="str">
        <f t="shared" si="1244"/>
        <v>CH</v>
      </c>
      <c r="D1947" t="s">
        <v>1970</v>
      </c>
      <c r="E1947" t="str">
        <f t="shared" si="1245"/>
        <v>Million</v>
      </c>
      <c r="F1947" s="1" cm="1">
        <f t="array" ref="F1947">SUMPRODUCT(("Var_Cap"=[1]OUT_TransportEnergyCons!$B$4:$B$10000)*1,("-"=[1]OUT_TransportEnergyCons!$C$4:$C$10000)*1,ISNUMBER(SEARCH("T_C*ICE*nga*s3",[1]OUT_TransportEnergyCons!$A$4:$A$10000))*1,[1]OUT_TransportEnergyCons!D$4:D$10000)</f>
        <v>1.5058374009938307E-4</v>
      </c>
      <c r="G1947" s="1" cm="1">
        <f t="array" ref="G1947">SUMPRODUCT(("Var_Cap"=[1]OUT_TransportEnergyCons!$B$4:$B$10000)*1,("-"=[1]OUT_TransportEnergyCons!$C$4:$C$10000)*1,ISNUMBER(SEARCH("T_C*ICE*nga*s3",[1]OUT_TransportEnergyCons!$A$4:$A$10000))*1,[1]OUT_TransportEnergyCons!E$4:E$10000)</f>
        <v>8.666326866113443E-5</v>
      </c>
      <c r="H1947" s="1" cm="1">
        <f t="array" ref="H1947">SUMPRODUCT(("Var_Cap"=[1]OUT_TransportEnergyCons!$B$4:$B$10000)*1,("-"=[1]OUT_TransportEnergyCons!$C$4:$C$10000)*1,ISNUMBER(SEARCH("T_C*ICE*nga*s3",[1]OUT_TransportEnergyCons!$A$4:$A$10000))*1,[1]OUT_TransportEnergyCons!F$4:F$10000)</f>
        <v>9.4966511096644091E-5</v>
      </c>
      <c r="I1947" s="1" cm="1">
        <f t="array" ref="I1947">SUMPRODUCT(("Var_Cap"=[1]OUT_TransportEnergyCons!$B$4:$B$10000)*1,("-"=[1]OUT_TransportEnergyCons!$C$4:$C$10000)*1,ISNUMBER(SEARCH("T_C*ICE*nga*s3",[1]OUT_TransportEnergyCons!$A$4:$A$10000))*1,[1]OUT_TransportEnergyCons!G$4:G$10000)</f>
        <v>5.4665822903269797E-5</v>
      </c>
      <c r="J1947" s="1" cm="1">
        <f t="array" ref="J1947">SUMPRODUCT(("Var_Cap"=[1]OUT_TransportEnergyCons!$B$4:$B$10000)*1,("-"=[1]OUT_TransportEnergyCons!$C$4:$C$10000)*1,ISNUMBER(SEARCH("T_C*ICE*nga*s3",[1]OUT_TransportEnergyCons!$A$4:$A$10000))*1,[1]OUT_TransportEnergyCons!H$4:H$10000)</f>
        <v>1.9291661167705683E-5</v>
      </c>
      <c r="K1947" s="1" cm="1">
        <f t="array" ref="K1947">SUMPRODUCT(("Var_Cap"=[1]OUT_TransportEnergyCons!$B$4:$B$10000)*1,("-"=[1]OUT_TransportEnergyCons!$C$4:$C$10000)*1,ISNUMBER(SEARCH("T_C*ICE*nga*s3",[1]OUT_TransportEnergyCons!$A$4:$A$10000))*1,[1]OUT_TransportEnergyCons!I$4:I$10000)</f>
        <v>2.0787236919628395E-6</v>
      </c>
    </row>
    <row r="1948" spans="2:11" x14ac:dyDescent="0.35">
      <c r="B1948" s="5" t="str">
        <f t="shared" si="1246"/>
        <v>SPS3</v>
      </c>
      <c r="C1948" s="5" t="str">
        <f t="shared" si="1244"/>
        <v>CH</v>
      </c>
      <c r="D1948" t="s">
        <v>1971</v>
      </c>
      <c r="E1948" t="str">
        <f t="shared" si="1245"/>
        <v>Million</v>
      </c>
      <c r="F1948" s="1" cm="1">
        <f t="array" ref="F1948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48" s="1" cm="1">
        <f t="array" ref="G1948">SUMPRODUCT(("Var_Cap"=[1]OUT_TransportEnergyCons!$B$4:$B$10000)*1,("-"=[1]OUT_TransportEnergyCons!$C$4:$C$10000)*1,ISNUMBER(SEARCH("T_C*ICE*nga*s4",[1]OUT_TransportEnergyCons!$A$4:$A$10000))*1,[1]OUT_TransportEnergyCons!E$4:E$10000)</f>
        <v>2.5376033381602197E-3</v>
      </c>
      <c r="H1948" s="1" cm="1">
        <f t="array" ref="H1948">SUMPRODUCT(("Var_Cap"=[1]OUT_TransportEnergyCons!$B$4:$B$10000)*1,("-"=[1]OUT_TransportEnergyCons!$C$4:$C$10000)*1,ISNUMBER(SEARCH("T_C*ICE*nga*s4",[1]OUT_TransportEnergyCons!$A$4:$A$10000))*1,[1]OUT_TransportEnergyCons!F$4:F$10000)</f>
        <v>2.3671489979161038E-3</v>
      </c>
      <c r="I1948" s="1" cm="1">
        <f t="array" ref="I1948">SUMPRODUCT(("Var_Cap"=[1]OUT_TransportEnergyCons!$B$4:$B$10000)*1,("-"=[1]OUT_TransportEnergyCons!$C$4:$C$10000)*1,ISNUMBER(SEARCH("T_C*ICE*nga*s4",[1]OUT_TransportEnergyCons!$A$4:$A$10000))*1,[1]OUT_TransportEnergyCons!G$4:G$10000)</f>
        <v>4.637445745355709E-5</v>
      </c>
      <c r="J1948" s="1" cm="1">
        <f t="array" ref="J1948">SUMPRODUCT(("Var_Cap"=[1]OUT_TransportEnergyCons!$B$4:$B$10000)*1,("-"=[1]OUT_TransportEnergyCons!$C$4:$C$10000)*1,ISNUMBER(SEARCH("T_C*ICE*nga*s4",[1]OUT_TransportEnergyCons!$A$4:$A$10000))*1,[1]OUT_TransportEnergyCons!H$4:H$10000)</f>
        <v>3.3808081891094185E-5</v>
      </c>
      <c r="K1948" s="1" cm="1">
        <f t="array" ref="K1948">SUMPRODUCT(("Var_Cap"=[1]OUT_TransportEnergyCons!$B$4:$B$10000)*1,("-"=[1]OUT_TransportEnergyCons!$C$4:$C$10000)*1,ISNUMBER(SEARCH("T_C*ICE*nga*s4",[1]OUT_TransportEnergyCons!$A$4:$A$10000))*1,[1]OUT_TransportEnergyCons!I$4:I$10000)</f>
        <v>3.4190964305178192E-6</v>
      </c>
    </row>
    <row r="1949" spans="2:11" x14ac:dyDescent="0.35">
      <c r="B1949" s="5" t="str">
        <f t="shared" si="1246"/>
        <v>SPS3</v>
      </c>
      <c r="C1949" s="5" t="str">
        <f>C1948</f>
        <v>CH</v>
      </c>
      <c r="D1949" s="2" t="s">
        <v>1974</v>
      </c>
      <c r="E1949" s="2" t="s">
        <v>2000</v>
      </c>
      <c r="F1949" s="3">
        <f>SUM(F1950:F1972)</f>
        <v>5.7101946113171316</v>
      </c>
      <c r="G1949" s="3">
        <f t="shared" ref="G1949:K1949" si="1247">SUM(G1950:G1972)</f>
        <v>5.6870883109410677</v>
      </c>
      <c r="H1949" s="3">
        <f t="shared" si="1247"/>
        <v>5.8325314315304402</v>
      </c>
      <c r="I1949" s="3">
        <f t="shared" si="1247"/>
        <v>6.5690952925617285</v>
      </c>
      <c r="J1949" s="3">
        <f t="shared" si="1247"/>
        <v>7.0606941727304848</v>
      </c>
      <c r="K1949" s="3">
        <f t="shared" si="1247"/>
        <v>7.8516200672148182</v>
      </c>
    </row>
    <row r="1950" spans="2:11" x14ac:dyDescent="0.35">
      <c r="B1950" s="5" t="str">
        <f t="shared" si="1246"/>
        <v>SPS3</v>
      </c>
      <c r="C1950" s="5" t="str">
        <f t="shared" ref="C1950:C1972" si="1248">C1949</f>
        <v>CH</v>
      </c>
      <c r="D1950" t="s">
        <v>1979</v>
      </c>
      <c r="E1950" t="s">
        <v>2000</v>
      </c>
      <c r="F1950" s="1" cm="1">
        <f t="array" ref="F1950">(SUMPRODUCT(("Var_Cap"=[1]OUT_TransportEnergyCons!$B$4:$B$10000)*1,ISNUMBER(SEARCH("T_B_u*bev*ext",[1]OUT_TransportEnergyCons!$A$4:$A$10000))*1,[1]OUT_TransportEnergyCons!D$4:D$10000))*1000</f>
        <v>3.7789555006180503E-2</v>
      </c>
      <c r="G1950" s="1" cm="1">
        <f t="array" ref="G1950">(SUMPRODUCT(("Var_Cap"=[1]OUT_TransportEnergyCons!$B$4:$B$10000)*1,ISNUMBER(SEARCH("T_B_u*bev*ext",[1]OUT_TransportEnergyCons!$A$4:$A$10000))*1,[1]OUT_TransportEnergyCons!E$4:E$10000))*1000</f>
        <v>3.0231644004944401E-2</v>
      </c>
      <c r="H1950" s="1" cm="1">
        <f t="array" ref="H1950">(SUMPRODUCT(("Var_Cap"=[1]OUT_TransportEnergyCons!$B$4:$B$10000)*1,ISNUMBER(SEARCH("T_B_u*bev*ext",[1]OUT_TransportEnergyCons!$A$4:$A$10000))*1,[1]OUT_TransportEnergyCons!F$4:F$10000))*1000</f>
        <v>1.8894777503090199E-2</v>
      </c>
      <c r="I1950" s="1" cm="1">
        <f t="array" ref="I1950">(SUMPRODUCT(("Var_Cap"=[1]OUT_TransportEnergyCons!$B$4:$B$10000)*1,ISNUMBER(SEARCH("T_B_u*bev*ext",[1]OUT_TransportEnergyCons!$A$4:$A$10000))*1,[1]OUT_TransportEnergyCons!G$4:G$10000))*1000</f>
        <v>0</v>
      </c>
      <c r="J1950" s="1" cm="1">
        <f t="array" ref="J1950">(SUMPRODUCT(("Var_Cap"=[1]OUT_TransportEnergyCons!$B$4:$B$10000)*1,ISNUMBER(SEARCH("T_B_u*bev*ext",[1]OUT_TransportEnergyCons!$A$4:$A$10000))*1,[1]OUT_TransportEnergyCons!H$4:H$10000))*1000</f>
        <v>0</v>
      </c>
      <c r="K1950" s="1" cm="1">
        <f t="array" ref="K1950">(SUMPRODUCT(("Var_Cap"=[1]OUT_TransportEnergyCons!$B$4:$B$10000)*1,ISNUMBER(SEARCH("T_B_u*bev*ext",[1]OUT_TransportEnergyCons!$A$4:$A$10000))*1,[1]OUT_TransportEnergyCons!I$4:I$10000))*1000</f>
        <v>0</v>
      </c>
    </row>
    <row r="1951" spans="2:11" x14ac:dyDescent="0.35">
      <c r="B1951" s="5" t="str">
        <f t="shared" si="1246"/>
        <v>SPS3</v>
      </c>
      <c r="C1951" s="5" t="str">
        <f t="shared" si="1248"/>
        <v>CH</v>
      </c>
      <c r="D1951" t="s">
        <v>1980</v>
      </c>
      <c r="E1951" t="s">
        <v>2000</v>
      </c>
      <c r="F1951" s="1" cm="1">
        <f t="array" ref="F1951">(SUMPRODUCT(("Var_Cap"=[1]OUT_TransportEnergyCons!$B$4:$B$10000)*1,ISNUMBER(SEARCH("T_B_u*bev*s1",[1]OUT_TransportEnergyCons!$A$4:$A$10000))*1,[1]OUT_TransportEnergyCons!D$4:D$10000))*1000</f>
        <v>3.02390998593531E-5</v>
      </c>
      <c r="G1951" s="1" cm="1">
        <f t="array" ref="G1951">(SUMPRODUCT(("Var_Cap"=[1]OUT_TransportEnergyCons!$B$4:$B$10000)*1,ISNUMBER(SEARCH("T_B_u*bev*s1",[1]OUT_TransportEnergyCons!$A$4:$A$10000))*1,[1]OUT_TransportEnergyCons!E$4:E$10000))*1000</f>
        <v>8.915426967747284E-3</v>
      </c>
      <c r="H1951" s="1" cm="1">
        <f t="array" ref="H1951">(SUMPRODUCT(("Var_Cap"=[1]OUT_TransportEnergyCons!$B$4:$B$10000)*1,ISNUMBER(SEARCH("T_B_u*bev*s1",[1]OUT_TransportEnergyCons!$A$4:$A$10000))*1,[1]OUT_TransportEnergyCons!F$4:F$10000))*1000</f>
        <v>2.4756245524027901E-2</v>
      </c>
      <c r="I1951" s="1" cm="1">
        <f t="array" ref="I1951">(SUMPRODUCT(("Var_Cap"=[1]OUT_TransportEnergyCons!$B$4:$B$10000)*1,ISNUMBER(SEARCH("T_B_u*bev*s1",[1]OUT_TransportEnergyCons!$A$4:$A$10000))*1,[1]OUT_TransportEnergyCons!G$4:G$10000))*1000</f>
        <v>2.5496993115370858</v>
      </c>
      <c r="J1951" s="1" cm="1">
        <f t="array" ref="J1951">(SUMPRODUCT(("Var_Cap"=[1]OUT_TransportEnergyCons!$B$4:$B$10000)*1,ISNUMBER(SEARCH("T_B_u*bev*s1",[1]OUT_TransportEnergyCons!$A$4:$A$10000))*1,[1]OUT_TransportEnergyCons!H$4:H$10000))*1000</f>
        <v>2.188072316556962</v>
      </c>
      <c r="K1951" s="1" cm="1">
        <f t="array" ref="K1951">(SUMPRODUCT(("Var_Cap"=[1]OUT_TransportEnergyCons!$B$4:$B$10000)*1,ISNUMBER(SEARCH("T_B_u*bev*s1",[1]OUT_TransportEnergyCons!$A$4:$A$10000))*1,[1]OUT_TransportEnergyCons!I$4:I$10000))*1000</f>
        <v>2.492277961918353</v>
      </c>
    </row>
    <row r="1952" spans="2:11" x14ac:dyDescent="0.35">
      <c r="B1952" s="5" t="str">
        <f t="shared" si="1246"/>
        <v>SPS3</v>
      </c>
      <c r="C1952" s="5" t="str">
        <f t="shared" si="1248"/>
        <v>CH</v>
      </c>
      <c r="D1952" t="s">
        <v>1981</v>
      </c>
      <c r="E1952" t="s">
        <v>2000</v>
      </c>
      <c r="F1952" s="1" cm="1">
        <f t="array" ref="F1952">(SUMPRODUCT(("Var_Cap"=[1]OUT_TransportEnergyCons!$B$4:$B$10000)*1,ISNUMBER(SEARCH("T_B_u*bev*s2",[1]OUT_TransportEnergyCons!$A$4:$A$10000))*1,[1]OUT_TransportEnergyCons!D$4:D$10000))*1000</f>
        <v>6.8888832988157301E-3</v>
      </c>
      <c r="G1952" s="1" cm="1">
        <f t="array" ref="G1952">(SUMPRODUCT(("Var_Cap"=[1]OUT_TransportEnergyCons!$B$4:$B$10000)*1,ISNUMBER(SEARCH("T_B_u*bev*s2",[1]OUT_TransportEnergyCons!$A$4:$A$10000))*1,[1]OUT_TransportEnergyCons!E$4:E$10000))*1000</f>
        <v>1.111966551930825E-2</v>
      </c>
      <c r="H1952" s="1" cm="1">
        <f t="array" ref="H1952">(SUMPRODUCT(("Var_Cap"=[1]OUT_TransportEnergyCons!$B$4:$B$10000)*1,ISNUMBER(SEARCH("T_B_u*bev*s2",[1]OUT_TransportEnergyCons!$A$4:$A$10000))*1,[1]OUT_TransportEnergyCons!F$4:F$10000))*1000</f>
        <v>2.2414586665569922E-2</v>
      </c>
      <c r="I1952" s="1" cm="1">
        <f t="array" ref="I1952">(SUMPRODUCT(("Var_Cap"=[1]OUT_TransportEnergyCons!$B$4:$B$10000)*1,ISNUMBER(SEARCH("T_B_u*bev*s2",[1]OUT_TransportEnergyCons!$A$4:$A$10000))*1,[1]OUT_TransportEnergyCons!G$4:G$10000))*1000</f>
        <v>0.74637857087816695</v>
      </c>
      <c r="J1952" s="1" cm="1">
        <f t="array" ref="J1952">(SUMPRODUCT(("Var_Cap"=[1]OUT_TransportEnergyCons!$B$4:$B$10000)*1,ISNUMBER(SEARCH("T_B_u*bev*s2",[1]OUT_TransportEnergyCons!$A$4:$A$10000))*1,[1]OUT_TransportEnergyCons!H$4:H$10000))*1000</f>
        <v>0.81199036306135497</v>
      </c>
      <c r="K1952" s="1" cm="1">
        <f t="array" ref="K1952">(SUMPRODUCT(("Var_Cap"=[1]OUT_TransportEnergyCons!$B$4:$B$10000)*1,ISNUMBER(SEARCH("T_B_u*bev*s2",[1]OUT_TransportEnergyCons!$A$4:$A$10000))*1,[1]OUT_TransportEnergyCons!I$4:I$10000))*1000</f>
        <v>0.87185218071603998</v>
      </c>
    </row>
    <row r="1953" spans="2:11" x14ac:dyDescent="0.35">
      <c r="B1953" s="5" t="str">
        <f t="shared" si="1246"/>
        <v>SPS3</v>
      </c>
      <c r="C1953" s="5" t="str">
        <f t="shared" si="1248"/>
        <v>CH</v>
      </c>
      <c r="D1953" t="s">
        <v>1982</v>
      </c>
      <c r="E1953" t="s">
        <v>2000</v>
      </c>
      <c r="F1953" s="1" cm="1">
        <f t="array" ref="F1953">(SUMPRODUCT(("Var_Cap"=[1]OUT_TransportEnergyCons!$B$4:$B$10000)*1,ISNUMBER(SEARCH("T_B_u*bev*s3",[1]OUT_TransportEnergyCons!$A$4:$A$10000))*1,[1]OUT_TransportEnergyCons!D$4:D$10000))*1000</f>
        <v>1.77341811049214E-2</v>
      </c>
      <c r="G1953" s="1" cm="1">
        <f t="array" ref="G1953">(SUMPRODUCT(("Var_Cap"=[1]OUT_TransportEnergyCons!$B$4:$B$10000)*1,ISNUMBER(SEARCH("T_B_u*bev*s3",[1]OUT_TransportEnergyCons!$A$4:$A$10000))*1,[1]OUT_TransportEnergyCons!E$4:E$10000))*1000</f>
        <v>1.586208266657884E-2</v>
      </c>
      <c r="H1953" s="1" cm="1">
        <f t="array" ref="H1953">(SUMPRODUCT(("Var_Cap"=[1]OUT_TransportEnergyCons!$B$4:$B$10000)*1,ISNUMBER(SEARCH("T_B_u*bev*s3",[1]OUT_TransportEnergyCons!$A$4:$A$10000))*1,[1]OUT_TransportEnergyCons!F$4:F$10000))*1000</f>
        <v>2.3469658726361978E-2</v>
      </c>
      <c r="I1953" s="1" cm="1">
        <f t="array" ref="I1953">(SUMPRODUCT(("Var_Cap"=[1]OUT_TransportEnergyCons!$B$4:$B$10000)*1,ISNUMBER(SEARCH("T_B_u*bev*s3",[1]OUT_TransportEnergyCons!$A$4:$A$10000))*1,[1]OUT_TransportEnergyCons!G$4:G$10000))*1000</f>
        <v>2.9551048150021026</v>
      </c>
      <c r="J1953" s="1" cm="1">
        <f t="array" ref="J1953">(SUMPRODUCT(("Var_Cap"=[1]OUT_TransportEnergyCons!$B$4:$B$10000)*1,ISNUMBER(SEARCH("T_B_u*bev*s3",[1]OUT_TransportEnergyCons!$A$4:$A$10000))*1,[1]OUT_TransportEnergyCons!H$4:H$10000))*1000</f>
        <v>3.5539532636553202</v>
      </c>
      <c r="K1953" s="1" cm="1">
        <f t="array" ref="K1953">(SUMPRODUCT(("Var_Cap"=[1]OUT_TransportEnergyCons!$B$4:$B$10000)*1,ISNUMBER(SEARCH("T_B_u*bev*s3",[1]OUT_TransportEnergyCons!$A$4:$A$10000))*1,[1]OUT_TransportEnergyCons!I$4:I$10000))*1000</f>
        <v>3.8035146240939688</v>
      </c>
    </row>
    <row r="1954" spans="2:11" x14ac:dyDescent="0.35">
      <c r="B1954" s="5" t="str">
        <f t="shared" si="1246"/>
        <v>SPS3</v>
      </c>
      <c r="C1954" s="5" t="str">
        <f t="shared" si="1248"/>
        <v>CH</v>
      </c>
      <c r="D1954" t="s">
        <v>1983</v>
      </c>
      <c r="E1954" t="s">
        <v>2000</v>
      </c>
      <c r="F1954" s="1" cm="1">
        <f t="array" ref="F1954">(SUMPRODUCT(("Var_Cap"=[1]OUT_TransportEnergyCons!$B$4:$B$10000)*1,ISNUMBER(SEARCH("T_B_u*bev*s4",[1]OUT_TransportEnergyCons!$A$4:$A$10000))*1,[1]OUT_TransportEnergyCons!D$4:D$10000))*1000</f>
        <v>4.2334739803094297E-4</v>
      </c>
      <c r="G1954" s="1" cm="1">
        <f t="array" ref="G1954">(SUMPRODUCT(("Var_Cap"=[1]OUT_TransportEnergyCons!$B$4:$B$10000)*1,ISNUMBER(SEARCH("T_B_u*bev*s4",[1]OUT_TransportEnergyCons!$A$4:$A$10000))*1,[1]OUT_TransportEnergyCons!E$4:E$10000))*1000</f>
        <v>1.0717625025299209E-3</v>
      </c>
      <c r="H1954" s="1" cm="1">
        <f t="array" ref="H1954">(SUMPRODUCT(("Var_Cap"=[1]OUT_TransportEnergyCons!$B$4:$B$10000)*1,ISNUMBER(SEARCH("T_B_u*bev*s4",[1]OUT_TransportEnergyCons!$A$4:$A$10000))*1,[1]OUT_TransportEnergyCons!F$4:F$10000))*1000</f>
        <v>1.5861849086050239E-3</v>
      </c>
      <c r="I1954" s="1" cm="1">
        <f t="array" ref="I1954">(SUMPRODUCT(("Var_Cap"=[1]OUT_TransportEnergyCons!$B$4:$B$10000)*1,ISNUMBER(SEARCH("T_B_u*bev*s4",[1]OUT_TransportEnergyCons!$A$4:$A$10000))*1,[1]OUT_TransportEnergyCons!G$4:G$10000))*1000</f>
        <v>9.5594521778065184E-4</v>
      </c>
      <c r="J1954" s="1" cm="1">
        <f t="array" ref="J1954">(SUMPRODUCT(("Var_Cap"=[1]OUT_TransportEnergyCons!$B$4:$B$10000)*1,ISNUMBER(SEARCH("T_B_u*bev*s4",[1]OUT_TransportEnergyCons!$A$4:$A$10000))*1,[1]OUT_TransportEnergyCons!H$4:H$10000))*1000</f>
        <v>1.105355492052165E-3</v>
      </c>
      <c r="K1954" s="1" cm="1">
        <f t="array" ref="K1954">(SUMPRODUCT(("Var_Cap"=[1]OUT_TransportEnergyCons!$B$4:$B$10000)*1,ISNUMBER(SEARCH("T_B_u*bev*s4",[1]OUT_TransportEnergyCons!$A$4:$A$10000))*1,[1]OUT_TransportEnergyCons!I$4:I$10000))*1000</f>
        <v>4.9203620932966824E-4</v>
      </c>
    </row>
    <row r="1955" spans="2:11" x14ac:dyDescent="0.35">
      <c r="B1955" s="5" t="str">
        <f t="shared" si="1246"/>
        <v>SPS3</v>
      </c>
      <c r="C1955" s="5" t="str">
        <f t="shared" si="1248"/>
        <v>CH</v>
      </c>
      <c r="D1955" t="s">
        <v>1984</v>
      </c>
      <c r="E1955" t="s">
        <v>2000</v>
      </c>
      <c r="F1955" s="1" cm="1">
        <f t="array" ref="F1955">(SUMPRODUCT(("Var_Cap"=[1]OUT_TransportEnergyCons!$B$4:$B$10000)*1,ISNUMBER(SEARCH("T_B_u*h2o*s1",[1]OUT_TransportEnergyCons!$A$4:$A$10000))*1,[1]OUT_TransportEnergyCons!D$4:D$10000))*1000</f>
        <v>0</v>
      </c>
      <c r="G1955" s="1" cm="1">
        <f t="array" ref="G1955">(SUMPRODUCT(("Var_Cap"=[1]OUT_TransportEnergyCons!$B$4:$B$10000)*1,ISNUMBER(SEARCH("T_B_u*h2o*s1",[1]OUT_TransportEnergyCons!$A$4:$A$10000))*1,[1]OUT_TransportEnergyCons!E$4:E$10000))*1000</f>
        <v>0</v>
      </c>
      <c r="H1955" s="1" cm="1">
        <f t="array" ref="H1955">(SUMPRODUCT(("Var_Cap"=[1]OUT_TransportEnergyCons!$B$4:$B$10000)*1,ISNUMBER(SEARCH("T_B_u*h2o*s1",[1]OUT_TransportEnergyCons!$A$4:$A$10000))*1,[1]OUT_TransportEnergyCons!F$4:F$10000))*1000</f>
        <v>0</v>
      </c>
      <c r="I1955" s="1" cm="1">
        <f t="array" ref="I1955">(SUMPRODUCT(("Var_Cap"=[1]OUT_TransportEnergyCons!$B$4:$B$10000)*1,ISNUMBER(SEARCH("T_B_u*h2o*s1",[1]OUT_TransportEnergyCons!$A$4:$A$10000))*1,[1]OUT_TransportEnergyCons!G$4:G$10000))*1000</f>
        <v>7.2902474560729297E-5</v>
      </c>
      <c r="J1955" s="1" cm="1">
        <f t="array" ref="J1955">(SUMPRODUCT(("Var_Cap"=[1]OUT_TransportEnergyCons!$B$4:$B$10000)*1,ISNUMBER(SEARCH("T_B_u*h2o*s1",[1]OUT_TransportEnergyCons!$A$4:$A$10000))*1,[1]OUT_TransportEnergyCons!H$4:H$10000))*1000</f>
        <v>5.963148995849159E-5</v>
      </c>
      <c r="K1955" s="1" cm="1">
        <f t="array" ref="K1955">(SUMPRODUCT(("Var_Cap"=[1]OUT_TransportEnergyCons!$B$4:$B$10000)*1,ISNUMBER(SEARCH("T_B_u*h2o*s1",[1]OUT_TransportEnergyCons!$A$4:$A$10000))*1,[1]OUT_TransportEnergyCons!I$4:I$10000))*1000</f>
        <v>5.0169306980968904E-5</v>
      </c>
    </row>
    <row r="1956" spans="2:11" x14ac:dyDescent="0.35">
      <c r="B1956" s="5" t="str">
        <f t="shared" si="1246"/>
        <v>SPS3</v>
      </c>
      <c r="C1956" s="5" t="str">
        <f t="shared" si="1248"/>
        <v>CH</v>
      </c>
      <c r="D1956" t="s">
        <v>1985</v>
      </c>
      <c r="E1956" t="s">
        <v>2000</v>
      </c>
      <c r="F1956" s="1" cm="1">
        <f t="array" ref="F1956">(SUMPRODUCT(("Var_Cap"=[1]OUT_TransportEnergyCons!$B$4:$B$10000)*1,ISNUMBER(SEARCH("T_B_u*h2o*s2",[1]OUT_TransportEnergyCons!$A$4:$A$10000))*1,[1]OUT_TransportEnergyCons!D$4:D$10000))*1000</f>
        <v>0</v>
      </c>
      <c r="G1956" s="1" cm="1">
        <f t="array" ref="G1956">(SUMPRODUCT(("Var_Cap"=[1]OUT_TransportEnergyCons!$B$4:$B$10000)*1,ISNUMBER(SEARCH("T_B_u*h2o*s2",[1]OUT_TransportEnergyCons!$A$4:$A$10000))*1,[1]OUT_TransportEnergyCons!E$4:E$10000))*1000</f>
        <v>0</v>
      </c>
      <c r="H1956" s="1" cm="1">
        <f t="array" ref="H1956">(SUMPRODUCT(("Var_Cap"=[1]OUT_TransportEnergyCons!$B$4:$B$10000)*1,ISNUMBER(SEARCH("T_B_u*h2o*s2",[1]OUT_TransportEnergyCons!$A$4:$A$10000))*1,[1]OUT_TransportEnergyCons!F$4:F$10000))*1000</f>
        <v>0</v>
      </c>
      <c r="I1956" s="1" cm="1">
        <f t="array" ref="I1956">(SUMPRODUCT(("Var_Cap"=[1]OUT_TransportEnergyCons!$B$4:$B$10000)*1,ISNUMBER(SEARCH("T_B_u*h2o*s2",[1]OUT_TransportEnergyCons!$A$4:$A$10000))*1,[1]OUT_TransportEnergyCons!G$4:G$10000))*1000</f>
        <v>0</v>
      </c>
      <c r="J1956" s="1" cm="1">
        <f t="array" ref="J1956">(SUMPRODUCT(("Var_Cap"=[1]OUT_TransportEnergyCons!$B$4:$B$10000)*1,ISNUMBER(SEARCH("T_B_u*h2o*s2",[1]OUT_TransportEnergyCons!$A$4:$A$10000))*1,[1]OUT_TransportEnergyCons!H$4:H$10000))*1000</f>
        <v>2.4393918576200603E-5</v>
      </c>
      <c r="K1956" s="1" cm="1">
        <f t="array" ref="K1956">(SUMPRODUCT(("Var_Cap"=[1]OUT_TransportEnergyCons!$B$4:$B$10000)*1,ISNUMBER(SEARCH("T_B_u*h2o*s2",[1]OUT_TransportEnergyCons!$A$4:$A$10000))*1,[1]OUT_TransportEnergyCons!I$4:I$10000))*1000</f>
        <v>2.12314286225164E-5</v>
      </c>
    </row>
    <row r="1957" spans="2:11" x14ac:dyDescent="0.35">
      <c r="B1957" s="5" t="str">
        <f t="shared" si="1246"/>
        <v>SPS3</v>
      </c>
      <c r="C1957" s="5" t="str">
        <f t="shared" si="1248"/>
        <v>CH</v>
      </c>
      <c r="D1957" t="s">
        <v>1986</v>
      </c>
      <c r="E1957" t="s">
        <v>2000</v>
      </c>
      <c r="F1957" s="1" cm="1">
        <f t="array" ref="F1957">(SUMPRODUCT(("Var_Cap"=[1]OUT_TransportEnergyCons!$B$4:$B$10000)*1,ISNUMBER(SEARCH("T_B_u*h2o*s3",[1]OUT_TransportEnergyCons!$A$4:$A$10000))*1,[1]OUT_TransportEnergyCons!D$4:D$10000))*1000</f>
        <v>0</v>
      </c>
      <c r="G1957" s="1" cm="1">
        <f t="array" ref="G1957">(SUMPRODUCT(("Var_Cap"=[1]OUT_TransportEnergyCons!$B$4:$B$10000)*1,ISNUMBER(SEARCH("T_B_u*h2o*s3",[1]OUT_TransportEnergyCons!$A$4:$A$10000))*1,[1]OUT_TransportEnergyCons!E$4:E$10000))*1000</f>
        <v>0</v>
      </c>
      <c r="H1957" s="1" cm="1">
        <f t="array" ref="H1957">(SUMPRODUCT(("Var_Cap"=[1]OUT_TransportEnergyCons!$B$4:$B$10000)*1,ISNUMBER(SEARCH("T_B_u*h2o*s3",[1]OUT_TransportEnergyCons!$A$4:$A$10000))*1,[1]OUT_TransportEnergyCons!F$4:F$10000))*1000</f>
        <v>0</v>
      </c>
      <c r="I1957" s="1" cm="1">
        <f t="array" ref="I1957">(SUMPRODUCT(("Var_Cap"=[1]OUT_TransportEnergyCons!$B$4:$B$10000)*1,ISNUMBER(SEARCH("T_B_u*h2o*s3",[1]OUT_TransportEnergyCons!$A$4:$A$10000))*1,[1]OUT_TransportEnergyCons!G$4:G$10000))*1000</f>
        <v>0</v>
      </c>
      <c r="J1957" s="1" cm="1">
        <f t="array" ref="J1957">(SUMPRODUCT(("Var_Cap"=[1]OUT_TransportEnergyCons!$B$4:$B$10000)*1,ISNUMBER(SEARCH("T_B_u*h2o*s3",[1]OUT_TransportEnergyCons!$A$4:$A$10000))*1,[1]OUT_TransportEnergyCons!H$4:H$10000))*1000</f>
        <v>0</v>
      </c>
      <c r="K1957" s="1" cm="1">
        <f t="array" ref="K1957">(SUMPRODUCT(("Var_Cap"=[1]OUT_TransportEnergyCons!$B$4:$B$10000)*1,ISNUMBER(SEARCH("T_B_u*h2o*s3",[1]OUT_TransportEnergyCons!$A$4:$A$10000))*1,[1]OUT_TransportEnergyCons!I$4:I$10000))*1000</f>
        <v>-4.9310894779621006E-6</v>
      </c>
    </row>
    <row r="1958" spans="2:11" x14ac:dyDescent="0.35">
      <c r="B1958" s="5" t="str">
        <f t="shared" si="1246"/>
        <v>SPS3</v>
      </c>
      <c r="C1958" s="5" t="str">
        <f t="shared" si="1248"/>
        <v>CH</v>
      </c>
      <c r="D1958" t="s">
        <v>1987</v>
      </c>
      <c r="E1958" t="s">
        <v>2000</v>
      </c>
      <c r="F1958" s="1" cm="1">
        <f t="array" ref="F1958">(SUMPRODUCT(("Var_Cap"=[1]OUT_TransportEnergyCons!$B$4:$B$10000)*1,ISNUMBER(SEARCH("T_B_u*h2o*s4",[1]OUT_TransportEnergyCons!$A$4:$A$10000))*1,[1]OUT_TransportEnergyCons!D$4:D$10000))*1000</f>
        <v>0</v>
      </c>
      <c r="G1958" s="1" cm="1">
        <f t="array" ref="G1958">(SUMPRODUCT(("Var_Cap"=[1]OUT_TransportEnergyCons!$B$4:$B$10000)*1,ISNUMBER(SEARCH("T_B_u*h2o*s4",[1]OUT_TransportEnergyCons!$A$4:$A$10000))*1,[1]OUT_TransportEnergyCons!E$4:E$10000))*1000</f>
        <v>0</v>
      </c>
      <c r="H1958" s="1" cm="1">
        <f t="array" ref="H1958">(SUMPRODUCT(("Var_Cap"=[1]OUT_TransportEnergyCons!$B$4:$B$10000)*1,ISNUMBER(SEARCH("T_B_u*h2o*s4",[1]OUT_TransportEnergyCons!$A$4:$A$10000))*1,[1]OUT_TransportEnergyCons!F$4:F$10000))*1000</f>
        <v>0</v>
      </c>
      <c r="I1958" s="1" cm="1">
        <f t="array" ref="I1958">(SUMPRODUCT(("Var_Cap"=[1]OUT_TransportEnergyCons!$B$4:$B$10000)*1,ISNUMBER(SEARCH("T_B_u*h2o*s4",[1]OUT_TransportEnergyCons!$A$4:$A$10000))*1,[1]OUT_TransportEnergyCons!G$4:G$10000))*1000</f>
        <v>0</v>
      </c>
      <c r="J1958" s="1" cm="1">
        <f t="array" ref="J1958">(SUMPRODUCT(("Var_Cap"=[1]OUT_TransportEnergyCons!$B$4:$B$10000)*1,ISNUMBER(SEARCH("T_B_u*h2o*s4",[1]OUT_TransportEnergyCons!$A$4:$A$10000))*1,[1]OUT_TransportEnergyCons!H$4:H$10000))*1000</f>
        <v>-1.2713768695989701E-5</v>
      </c>
      <c r="K1958" s="1" cm="1">
        <f t="array" ref="K1958">(SUMPRODUCT(("Var_Cap"=[1]OUT_TransportEnergyCons!$B$4:$B$10000)*1,ISNUMBER(SEARCH("T_B_u*h2o*s4",[1]OUT_TransportEnergyCons!$A$4:$A$10000))*1,[1]OUT_TransportEnergyCons!I$4:I$10000))*1000</f>
        <v>-1.0194150203023501E-5</v>
      </c>
    </row>
    <row r="1959" spans="2:11" x14ac:dyDescent="0.35">
      <c r="B1959" s="5" t="str">
        <f t="shared" si="1246"/>
        <v>SPS3</v>
      </c>
      <c r="C1959" s="5" t="str">
        <f t="shared" si="1248"/>
        <v>CH</v>
      </c>
      <c r="D1959" t="s">
        <v>1988</v>
      </c>
      <c r="E1959" t="s">
        <v>2000</v>
      </c>
      <c r="F1959" s="1" cm="1">
        <f t="array" ref="F1959">(SUMPRODUCT(("Var_Cap"=[1]OUT_TransportEnergyCons!$B$4:$B$10000)*1,ISNUMBER(SEARCH("T_B_u*hyb*DSL*s1",[1]OUT_TransportEnergyCons!$A$4:$A$10000))*1,[1]OUT_TransportEnergyCons!D$4:D$10000))*1000</f>
        <v>0</v>
      </c>
      <c r="G1959" s="1" cm="1">
        <f t="array" ref="G1959">(SUMPRODUCT(("Var_Cap"=[1]OUT_TransportEnergyCons!$B$4:$B$10000)*1,ISNUMBER(SEARCH("T_B_u*hyb*DSL*s1",[1]OUT_TransportEnergyCons!$A$4:$A$10000))*1,[1]OUT_TransportEnergyCons!E$4:E$10000))*1000</f>
        <v>0.106478166892954</v>
      </c>
      <c r="H1959" s="1" cm="1">
        <f t="array" ref="H1959">(SUMPRODUCT(("Var_Cap"=[1]OUT_TransportEnergyCons!$B$4:$B$10000)*1,ISNUMBER(SEARCH("T_B_u*hyb*DSL*s1",[1]OUT_TransportEnergyCons!$A$4:$A$10000))*1,[1]OUT_TransportEnergyCons!F$4:F$10000))*1000</f>
        <v>0.10976352419224314</v>
      </c>
      <c r="I1959" s="1" cm="1">
        <f t="array" ref="I1959">(SUMPRODUCT(("Var_Cap"=[1]OUT_TransportEnergyCons!$B$4:$B$10000)*1,ISNUMBER(SEARCH("T_B_u*hyb*DSL*s1",[1]OUT_TransportEnergyCons!$A$4:$A$10000))*1,[1]OUT_TransportEnergyCons!G$4:G$10000))*1000</f>
        <v>2.0044869680791045E-3</v>
      </c>
      <c r="J1959" s="1" cm="1">
        <f t="array" ref="J1959">(SUMPRODUCT(("Var_Cap"=[1]OUT_TransportEnergyCons!$B$4:$B$10000)*1,ISNUMBER(SEARCH("T_B_u*hyb*DSL*s1",[1]OUT_TransportEnergyCons!$A$4:$A$10000))*1,[1]OUT_TransportEnergyCons!H$4:H$10000))*1000</f>
        <v>0.50067327180327093</v>
      </c>
      <c r="K1959" s="1" cm="1">
        <f t="array" ref="K1959">(SUMPRODUCT(("Var_Cap"=[1]OUT_TransportEnergyCons!$B$4:$B$10000)*1,ISNUMBER(SEARCH("T_B_u*hyb*DSL*s1",[1]OUT_TransportEnergyCons!$A$4:$A$10000))*1,[1]OUT_TransportEnergyCons!I$4:I$10000))*1000</f>
        <v>0.68264638722321491</v>
      </c>
    </row>
    <row r="1960" spans="2:11" x14ac:dyDescent="0.35">
      <c r="B1960" s="5" t="str">
        <f t="shared" si="1246"/>
        <v>SPS3</v>
      </c>
      <c r="C1960" s="5" t="str">
        <f t="shared" si="1248"/>
        <v>CH</v>
      </c>
      <c r="D1960" t="s">
        <v>1989</v>
      </c>
      <c r="E1960" t="s">
        <v>2000</v>
      </c>
      <c r="F1960" s="1" cm="1">
        <f t="array" ref="F1960">(SUMPRODUCT(("Var_Cap"=[1]OUT_TransportEnergyCons!$B$4:$B$10000)*1,ISNUMBER(SEARCH("T_B_u*hyb*DSL*s2",[1]OUT_TransportEnergyCons!$A$4:$A$10000))*1,[1]OUT_TransportEnergyCons!D$4:D$10000))*1000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(SUMPRODUCT(("Var_Cap"=[1]OUT_TransportEnergyCons!$B$4:$B$10000)*1,ISNUMBER(SEARCH("T_B_u*hyb*DSL*s2",[1]OUT_TransportEnergyCons!$A$4:$A$10000))*1,[1]OUT_TransportEnergyCons!E$4:E$10000))*1000</f>
        <v>1.9689443412717997E-3</v>
      </c>
      <c r="H1960" s="1" cm="1">
        <f t="array" ref="H1960">(SUMPRODUCT(("Var_Cap"=[1]OUT_TransportEnergyCons!$B$4:$B$10000)*1,ISNUMBER(SEARCH("T_B_u*hyb*DSL*s2",[1]OUT_TransportEnergyCons!$A$4:$A$10000))*1,[1]OUT_TransportEnergyCons!F$4:F$10000))*1000</f>
        <v>3.1810628467997997E-3</v>
      </c>
      <c r="I1960" s="1" cm="1">
        <f t="array" ref="I1960">(SUMPRODUCT(("Var_Cap"=[1]OUT_TransportEnergyCons!$B$4:$B$10000)*1,ISNUMBER(SEARCH("T_B_u*hyb*DSL*s2",[1]OUT_TransportEnergyCons!$A$4:$A$10000))*1,[1]OUT_TransportEnergyCons!G$4:G$10000))*1000</f>
        <v>1.86371025166397E-3</v>
      </c>
      <c r="J1960" s="1" cm="1">
        <f t="array" ref="J1960">(SUMPRODUCT(("Var_Cap"=[1]OUT_TransportEnergyCons!$B$4:$B$10000)*1,ISNUMBER(SEARCH("T_B_u*hyb*DSL*s2",[1]OUT_TransportEnergyCons!$A$4:$A$10000))*1,[1]OUT_TransportEnergyCons!H$4:H$10000))*1000</f>
        <v>2.8677800863556699E-3</v>
      </c>
      <c r="K1960" s="1" cm="1">
        <f t="array" ref="K1960">(SUMPRODUCT(("Var_Cap"=[1]OUT_TransportEnergyCons!$B$4:$B$10000)*1,ISNUMBER(SEARCH("T_B_u*hyb*DSL*s2",[1]OUT_TransportEnergyCons!$A$4:$A$10000))*1,[1]OUT_TransportEnergyCons!I$4:I$10000))*1000</f>
        <v>3.642814773181171E-4</v>
      </c>
    </row>
    <row r="1961" spans="2:11" x14ac:dyDescent="0.35">
      <c r="B1961" s="5" t="str">
        <f t="shared" si="1246"/>
        <v>SPS3</v>
      </c>
      <c r="C1961" s="5" t="str">
        <f t="shared" si="1248"/>
        <v>CH</v>
      </c>
      <c r="D1961" t="s">
        <v>1990</v>
      </c>
      <c r="E1961" t="s">
        <v>2000</v>
      </c>
      <c r="F1961" s="1" cm="1">
        <f t="array" ref="F1961">(SUMPRODUCT(("Var_Cap"=[1]OUT_TransportEnergyCons!$B$4:$B$10000)*1,ISNUMBER(SEARCH("T_B_u*hyb*DSL*s3",[1]OUT_TransportEnergyCons!$A$4:$A$10000))*1,[1]OUT_TransportEnergyCons!D$4:D$10000))*1000</f>
        <v>0</v>
      </c>
      <c r="G1961" s="1" cm="1">
        <f t="array" ref="G1961">(SUMPRODUCT(("Var_Cap"=[1]OUT_TransportEnergyCons!$B$4:$B$10000)*1,ISNUMBER(SEARCH("T_B_u*hyb*DSL*s3",[1]OUT_TransportEnergyCons!$A$4:$A$10000))*1,[1]OUT_TransportEnergyCons!E$4:E$10000))*1000</f>
        <v>3.3023036058594398E-3</v>
      </c>
      <c r="H1961" s="1" cm="1">
        <f t="array" ref="H1961">(SUMPRODUCT(("Var_Cap"=[1]OUT_TransportEnergyCons!$B$4:$B$10000)*1,ISNUMBER(SEARCH("T_B_u*hyb*DSL*s3",[1]OUT_TransportEnergyCons!$A$4:$A$10000))*1,[1]OUT_TransportEnergyCons!F$4:F$10000))*1000</f>
        <v>0.31225315749573002</v>
      </c>
      <c r="I1961" s="1" cm="1">
        <f t="array" ref="I1961">(SUMPRODUCT(("Var_Cap"=[1]OUT_TransportEnergyCons!$B$4:$B$10000)*1,ISNUMBER(SEARCH("T_B_u*hyb*DSL*s3",[1]OUT_TransportEnergyCons!$A$4:$A$10000))*1,[1]OUT_TransportEnergyCons!G$4:G$10000))*1000</f>
        <v>0.31262057013283284</v>
      </c>
      <c r="J1961" s="1" cm="1">
        <f t="array" ref="J1961">(SUMPRODUCT(("Var_Cap"=[1]OUT_TransportEnergyCons!$B$4:$B$10000)*1,ISNUMBER(SEARCH("T_B_u*hyb*DSL*s3",[1]OUT_TransportEnergyCons!$A$4:$A$10000))*1,[1]OUT_TransportEnergyCons!H$4:H$10000))*1000</f>
        <v>1.67451252546836E-3</v>
      </c>
      <c r="K1961" s="1" cm="1">
        <f t="array" ref="K1961">(SUMPRODUCT(("Var_Cap"=[1]OUT_TransportEnergyCons!$B$4:$B$10000)*1,ISNUMBER(SEARCH("T_B_u*hyb*DSL*s3",[1]OUT_TransportEnergyCons!$A$4:$A$10000))*1,[1]OUT_TransportEnergyCons!I$4:I$10000))*1000</f>
        <v>9.5512624195171302E-5</v>
      </c>
    </row>
    <row r="1962" spans="2:11" x14ac:dyDescent="0.35">
      <c r="B1962" s="5" t="str">
        <f t="shared" si="1246"/>
        <v>SPS3</v>
      </c>
      <c r="C1962" s="5" t="str">
        <f t="shared" si="1248"/>
        <v>CH</v>
      </c>
      <c r="D1962" t="s">
        <v>1991</v>
      </c>
      <c r="E1962" t="s">
        <v>2000</v>
      </c>
      <c r="F1962" s="1" cm="1">
        <f t="array" ref="F1962">(SUMPRODUCT(("Var_Cap"=[1]OUT_TransportEnergyCons!$B$4:$B$10000)*1,ISNUMBER(SEARCH("T_B_u*hyb*DSL*s4",[1]OUT_TransportEnergyCons!$A$4:$A$10000))*1,[1]OUT_TransportEnergyCons!D$4:D$10000))*1000</f>
        <v>0</v>
      </c>
      <c r="G1962" s="1" cm="1">
        <f t="array" ref="G1962">(SUMPRODUCT(("Var_Cap"=[1]OUT_TransportEnergyCons!$B$4:$B$10000)*1,ISNUMBER(SEARCH("T_B_u*hyb*DSL*s4",[1]OUT_TransportEnergyCons!$A$4:$A$10000))*1,[1]OUT_TransportEnergyCons!E$4:E$10000))*1000</f>
        <v>7.8887297999154492E-5</v>
      </c>
      <c r="H1962" s="1" cm="1">
        <f t="array" ref="H1962">(SUMPRODUCT(("Var_Cap"=[1]OUT_TransportEnergyCons!$B$4:$B$10000)*1,ISNUMBER(SEARCH("T_B_u*hyb*DSL*s4",[1]OUT_TransportEnergyCons!$A$4:$A$10000))*1,[1]OUT_TransportEnergyCons!F$4:F$10000))*1000</f>
        <v>1.42569243592788E-4</v>
      </c>
      <c r="I1962" s="1" cm="1">
        <f t="array" ref="I1962">(SUMPRODUCT(("Var_Cap"=[1]OUT_TransportEnergyCons!$B$4:$B$10000)*1,ISNUMBER(SEARCH("T_B_u*hyb*DSL*s4",[1]OUT_TransportEnergyCons!$A$4:$A$10000))*1,[1]OUT_TransportEnergyCons!G$4:G$10000))*1000</f>
        <v>1.13244796988367E-4</v>
      </c>
      <c r="J1962" s="1" cm="1">
        <f t="array" ref="J1962">(SUMPRODUCT(("Var_Cap"=[1]OUT_TransportEnergyCons!$B$4:$B$10000)*1,ISNUMBER(SEARCH("T_B_u*hyb*DSL*s4",[1]OUT_TransportEnergyCons!$A$4:$A$10000))*1,[1]OUT_TransportEnergyCons!H$4:H$10000))*1000</f>
        <v>2.1522434532171203E-5</v>
      </c>
      <c r="K1962" s="1" cm="1">
        <f t="array" ref="K1962">(SUMPRODUCT(("Var_Cap"=[1]OUT_TransportEnergyCons!$B$4:$B$10000)*1,ISNUMBER(SEARCH("T_B_u*hyb*DSL*s4",[1]OUT_TransportEnergyCons!$A$4:$A$10000))*1,[1]OUT_TransportEnergyCons!I$4:I$10000))*1000</f>
        <v>0</v>
      </c>
    </row>
    <row r="1963" spans="2:11" x14ac:dyDescent="0.35">
      <c r="B1963" s="5" t="str">
        <f t="shared" si="1246"/>
        <v>SPS3</v>
      </c>
      <c r="C1963" s="5" t="str">
        <f t="shared" si="1248"/>
        <v>CH</v>
      </c>
      <c r="D1963" t="s">
        <v>2004</v>
      </c>
      <c r="E1963" t="s">
        <v>2000</v>
      </c>
      <c r="F1963" s="1" cm="1">
        <f t="array" ref="F1963">(SUMPRODUCT(("Var_Cap"=[1]OUT_TransportEnergyCons!$B$4:$B$10000)*1,ISNUMBER(SEARCH("T_B_u*ICE*DSL*ext",[1]OUT_TransportEnergyCons!$A$4:$A$10000))*1,[1]OUT_TransportEnergyCons!D$4:D$10000))*1000</f>
        <v>4.5678362175525304</v>
      </c>
      <c r="G1963" s="1" cm="1">
        <f t="array" ref="G1963">(SUMPRODUCT(("Var_Cap"=[1]OUT_TransportEnergyCons!$B$4:$B$10000)*1,ISNUMBER(SEARCH("T_B_u*ICE*DSL*ext",[1]OUT_TransportEnergyCons!$A$4:$A$10000))*1,[1]OUT_TransportEnergyCons!E$4:E$10000))*1000</f>
        <v>3.65426897404202</v>
      </c>
      <c r="H1963" s="1" cm="1">
        <f t="array" ref="H1963">(SUMPRODUCT(("Var_Cap"=[1]OUT_TransportEnergyCons!$B$4:$B$10000)*1,ISNUMBER(SEARCH("T_B_u*ICE*DSL*ext",[1]OUT_TransportEnergyCons!$A$4:$A$10000))*1,[1]OUT_TransportEnergyCons!F$4:F$10000))*1000</f>
        <v>2.2833194539305568</v>
      </c>
      <c r="I1963" s="1" cm="1">
        <f t="array" ref="I1963">(SUMPRODUCT(("Var_Cap"=[1]OUT_TransportEnergyCons!$B$4:$B$10000)*1,ISNUMBER(SEARCH("T_B_u*ICE*DSL*ext",[1]OUT_TransportEnergyCons!$A$4:$A$10000))*1,[1]OUT_TransportEnergyCons!G$4:G$10000))*1000</f>
        <v>0</v>
      </c>
      <c r="J1963" s="1" cm="1">
        <f t="array" ref="J1963">(SUMPRODUCT(("Var_Cap"=[1]OUT_TransportEnergyCons!$B$4:$B$10000)*1,ISNUMBER(SEARCH("T_B_u*ICE*DSL*ext",[1]OUT_TransportEnergyCons!$A$4:$A$10000))*1,[1]OUT_TransportEnergyCons!H$4:H$10000))*1000</f>
        <v>0</v>
      </c>
      <c r="K1963" s="1" cm="1">
        <f t="array" ref="K1963">(SUMPRODUCT(("Var_Cap"=[1]OUT_TransportEnergyCons!$B$4:$B$10000)*1,ISNUMBER(SEARCH("T_B_u*ICE*DSL*ext",[1]OUT_TransportEnergyCons!$A$4:$A$10000))*1,[1]OUT_TransportEnergyCons!I$4:I$10000))*1000</f>
        <v>0</v>
      </c>
    </row>
    <row r="1964" spans="2:11" x14ac:dyDescent="0.35">
      <c r="B1964" s="5" t="str">
        <f t="shared" si="1246"/>
        <v>SPS3</v>
      </c>
      <c r="C1964" s="5" t="str">
        <f t="shared" si="1248"/>
        <v>CH</v>
      </c>
      <c r="D1964" t="s">
        <v>1992</v>
      </c>
      <c r="E1964" t="s">
        <v>2000</v>
      </c>
      <c r="F1964" s="1" cm="1">
        <f t="array" ref="F1964">(SUMPRODUCT(("Var_Cap"=[1]OUT_TransportEnergyCons!$B$4:$B$10000)*1,ISNUMBER(SEARCH("T_B_u*ICE*DSL*s1",[1]OUT_TransportEnergyCons!$A$4:$A$10000))*1,[1]OUT_TransportEnergyCons!D$4:D$10000))*1000</f>
        <v>7.0464135021097002E-4</v>
      </c>
      <c r="G1964" s="1" cm="1">
        <f t="array" ref="G1964">(SUMPRODUCT(("Var_Cap"=[1]OUT_TransportEnergyCons!$B$4:$B$10000)*1,ISNUMBER(SEARCH("T_B_u*ICE*DSL*s1",[1]OUT_TransportEnergyCons!$A$4:$A$10000))*1,[1]OUT_TransportEnergyCons!E$4:E$10000))*1000</f>
        <v>0.54026644612772945</v>
      </c>
      <c r="H1964" s="1" cm="1">
        <f t="array" ref="H1964">(SUMPRODUCT(("Var_Cap"=[1]OUT_TransportEnergyCons!$B$4:$B$10000)*1,ISNUMBER(SEARCH("T_B_u*ICE*DSL*s1",[1]OUT_TransportEnergyCons!$A$4:$A$10000))*1,[1]OUT_TransportEnergyCons!F$4:F$10000))*1000</f>
        <v>1.0486780841364762</v>
      </c>
      <c r="I1964" s="1" cm="1">
        <f t="array" ref="I1964">(SUMPRODUCT(("Var_Cap"=[1]OUT_TransportEnergyCons!$B$4:$B$10000)*1,ISNUMBER(SEARCH("T_B_u*ICE*DSL*s1",[1]OUT_TransportEnergyCons!$A$4:$A$10000))*1,[1]OUT_TransportEnergyCons!G$4:G$10000))*1000</f>
        <v>6.8500108445310876E-5</v>
      </c>
      <c r="J1964" s="1" cm="1">
        <f t="array" ref="J1964">(SUMPRODUCT(("Var_Cap"=[1]OUT_TransportEnergyCons!$B$4:$B$10000)*1,ISNUMBER(SEARCH("T_B_u*ICE*DSL*s1",[1]OUT_TransportEnergyCons!$A$4:$A$10000))*1,[1]OUT_TransportEnergyCons!H$4:H$10000))*1000</f>
        <v>9.38512397529321E-5</v>
      </c>
      <c r="K1964" s="1" cm="1">
        <f t="array" ref="K1964">(SUMPRODUCT(("Var_Cap"=[1]OUT_TransportEnergyCons!$B$4:$B$10000)*1,ISNUMBER(SEARCH("T_B_u*ICE*DSL*s1",[1]OUT_TransportEnergyCons!$A$4:$A$10000))*1,[1]OUT_TransportEnergyCons!I$4:I$10000))*1000</f>
        <v>9.7554967202418099E-5</v>
      </c>
    </row>
    <row r="1965" spans="2:11" x14ac:dyDescent="0.35">
      <c r="B1965" s="5" t="str">
        <f t="shared" si="1246"/>
        <v>SPS3</v>
      </c>
      <c r="C1965" s="5" t="str">
        <f t="shared" si="1248"/>
        <v>CH</v>
      </c>
      <c r="D1965" t="s">
        <v>1993</v>
      </c>
      <c r="E1965" t="s">
        <v>2000</v>
      </c>
      <c r="F1965" s="1" cm="1">
        <f t="array" ref="F1965">(SUMPRODUCT(("Var_Cap"=[1]OUT_TransportEnergyCons!$B$4:$B$10000)*1,ISNUMBER(SEARCH("T_B_u*ICE*DSL*s2",[1]OUT_TransportEnergyCons!$A$4:$A$10000))*1,[1]OUT_TransportEnergyCons!D$4:D$10000))*1000</f>
        <v>0.18429965347889327</v>
      </c>
      <c r="G1965" s="1" cm="1">
        <f t="array" ref="G1965">(SUMPRODUCT(("Var_Cap"=[1]OUT_TransportEnergyCons!$B$4:$B$10000)*1,ISNUMBER(SEARCH("T_B_u*ICE*DSL*s2",[1]OUT_TransportEnergyCons!$A$4:$A$10000))*1,[1]OUT_TransportEnergyCons!E$4:E$10000))*1000</f>
        <v>0.22702170817018835</v>
      </c>
      <c r="H1965" s="1" cm="1">
        <f t="array" ref="H1965">(SUMPRODUCT(("Var_Cap"=[1]OUT_TransportEnergyCons!$B$4:$B$10000)*1,ISNUMBER(SEARCH("T_B_u*ICE*DSL*s2",[1]OUT_TransportEnergyCons!$A$4:$A$10000))*1,[1]OUT_TransportEnergyCons!F$4:F$10000))*1000</f>
        <v>0.39971125801905033</v>
      </c>
      <c r="I1965" s="1" cm="1">
        <f t="array" ref="I1965">(SUMPRODUCT(("Var_Cap"=[1]OUT_TransportEnergyCons!$B$4:$B$10000)*1,ISNUMBER(SEARCH("T_B_u*ICE*DSL*s2",[1]OUT_TransportEnergyCons!$A$4:$A$10000))*1,[1]OUT_TransportEnergyCons!G$4:G$10000))*1000</f>
        <v>-1.6938038860001784E-5</v>
      </c>
      <c r="J1965" s="1" cm="1">
        <f t="array" ref="J1965">(SUMPRODUCT(("Var_Cap"=[1]OUT_TransportEnergyCons!$B$4:$B$10000)*1,ISNUMBER(SEARCH("T_B_u*ICE*DSL*s2",[1]OUT_TransportEnergyCons!$A$4:$A$10000))*1,[1]OUT_TransportEnergyCons!H$4:H$10000))*1000</f>
        <v>2.6288730221460403E-5</v>
      </c>
      <c r="K1965" s="1" cm="1">
        <f t="array" ref="K1965">(SUMPRODUCT(("Var_Cap"=[1]OUT_TransportEnergyCons!$B$4:$B$10000)*1,ISNUMBER(SEARCH("T_B_u*ICE*DSL*s2",[1]OUT_TransportEnergyCons!$A$4:$A$10000))*1,[1]OUT_TransportEnergyCons!I$4:I$10000))*1000</f>
        <v>3.5447770544733903E-5</v>
      </c>
    </row>
    <row r="1966" spans="2:11" x14ac:dyDescent="0.35">
      <c r="B1966" s="5" t="str">
        <f t="shared" si="1246"/>
        <v>SPS3</v>
      </c>
      <c r="C1966" s="5" t="str">
        <f t="shared" si="1248"/>
        <v>CH</v>
      </c>
      <c r="D1966" t="s">
        <v>1994</v>
      </c>
      <c r="E1966" t="s">
        <v>2000</v>
      </c>
      <c r="F1966" s="1" cm="1">
        <f t="array" ref="F1966">(SUMPRODUCT(("Var_Cap"=[1]OUT_TransportEnergyCons!$B$4:$B$10000)*1,ISNUMBER(SEARCH("T_B_u*ICE*DSL*s3",[1]OUT_TransportEnergyCons!$A$4:$A$10000))*1,[1]OUT_TransportEnergyCons!D$4:D$10000))*1000</f>
        <v>0.80617129986124247</v>
      </c>
      <c r="G1966" s="1" cm="1">
        <f t="array" ref="G1966">(SUMPRODUCT(("Var_Cap"=[1]OUT_TransportEnergyCons!$B$4:$B$10000)*1,ISNUMBER(SEARCH("T_B_u*ICE*DSL*s3",[1]OUT_TransportEnergyCons!$A$4:$A$10000))*1,[1]OUT_TransportEnergyCons!E$4:E$10000))*1000</f>
        <v>1.0184470079184811</v>
      </c>
      <c r="H1966" s="1" cm="1">
        <f t="array" ref="H1966">(SUMPRODUCT(("Var_Cap"=[1]OUT_TransportEnergyCons!$B$4:$B$10000)*1,ISNUMBER(SEARCH("T_B_u*ICE*DSL*s3",[1]OUT_TransportEnergyCons!$A$4:$A$10000))*1,[1]OUT_TransportEnergyCons!F$4:F$10000))*1000</f>
        <v>1.5114150634845711</v>
      </c>
      <c r="I1966" s="1" cm="1">
        <f t="array" ref="I1966">(SUMPRODUCT(("Var_Cap"=[1]OUT_TransportEnergyCons!$B$4:$B$10000)*1,ISNUMBER(SEARCH("T_B_u*ICE*DSL*s3",[1]OUT_TransportEnergyCons!$A$4:$A$10000))*1,[1]OUT_TransportEnergyCons!G$4:G$10000))*1000</f>
        <v>-1.8694539605039993E-5</v>
      </c>
      <c r="J1966" s="1" cm="1">
        <f t="array" ref="J1966">(SUMPRODUCT(("Var_Cap"=[1]OUT_TransportEnergyCons!$B$4:$B$10000)*1,ISNUMBER(SEARCH("T_B_u*ICE*DSL*s3",[1]OUT_TransportEnergyCons!$A$4:$A$10000))*1,[1]OUT_TransportEnergyCons!H$4:H$10000))*1000</f>
        <v>-2.1469536676800897E-5</v>
      </c>
      <c r="K1966" s="1" cm="1">
        <f t="array" ref="K1966">(SUMPRODUCT(("Var_Cap"=[1]OUT_TransportEnergyCons!$B$4:$B$10000)*1,ISNUMBER(SEARCH("T_B_u*ICE*DSL*s3",[1]OUT_TransportEnergyCons!$A$4:$A$10000))*1,[1]OUT_TransportEnergyCons!I$4:I$10000))*1000</f>
        <v>1.00659515932799E-5</v>
      </c>
    </row>
    <row r="1967" spans="2:11" x14ac:dyDescent="0.35">
      <c r="B1967" s="5" t="str">
        <f t="shared" si="1246"/>
        <v>SPS3</v>
      </c>
      <c r="C1967" s="5" t="str">
        <f t="shared" si="1248"/>
        <v>CH</v>
      </c>
      <c r="D1967" t="s">
        <v>1995</v>
      </c>
      <c r="E1967" t="s">
        <v>2000</v>
      </c>
      <c r="F1967" s="1" cm="1">
        <f t="array" ref="F1967">(SUMPRODUCT(("Var_Cap"=[1]OUT_TransportEnergyCons!$B$4:$B$10000)*1,ISNUMBER(SEARCH("T_B_u*ICE*DSL*s4",[1]OUT_TransportEnergyCons!$A$4:$A$10000))*1,[1]OUT_TransportEnergyCons!D$4:D$10000))*1000</f>
        <v>4.7411914359147987E-3</v>
      </c>
      <c r="G1967" s="1" cm="1">
        <f t="array" ref="G1967">(SUMPRODUCT(("Var_Cap"=[1]OUT_TransportEnergyCons!$B$4:$B$10000)*1,ISNUMBER(SEARCH("T_B_u*ICE*DSL*s4",[1]OUT_TransportEnergyCons!$A$4:$A$10000))*1,[1]OUT_TransportEnergyCons!E$4:E$10000))*1000</f>
        <v>7.0757214971520275E-4</v>
      </c>
      <c r="H1967" s="1" cm="1">
        <f t="array" ref="H1967">(SUMPRODUCT(("Var_Cap"=[1]OUT_TransportEnergyCons!$B$4:$B$10000)*1,ISNUMBER(SEARCH("T_B_u*ICE*DSL*s4",[1]OUT_TransportEnergyCons!$A$4:$A$10000))*1,[1]OUT_TransportEnergyCons!F$4:F$10000))*1000</f>
        <v>8.0910154279171273E-4</v>
      </c>
      <c r="I1967" s="1" cm="1">
        <f t="array" ref="I1967">(SUMPRODUCT(("Var_Cap"=[1]OUT_TransportEnergyCons!$B$4:$B$10000)*1,ISNUMBER(SEARCH("T_B_u*ICE*DSL*s4",[1]OUT_TransportEnergyCons!$A$4:$A$10000))*1,[1]OUT_TransportEnergyCons!G$4:G$10000))*1000</f>
        <v>-1.8594850816341E-5</v>
      </c>
      <c r="J1967" s="1" cm="1">
        <f t="array" ref="J1967">(SUMPRODUCT(("Var_Cap"=[1]OUT_TransportEnergyCons!$B$4:$B$10000)*1,ISNUMBER(SEARCH("T_B_u*ICE*DSL*s4",[1]OUT_TransportEnergyCons!$A$4:$A$10000))*1,[1]OUT_TransportEnergyCons!H$4:H$10000))*1000</f>
        <v>-1.5537848547479898E-5</v>
      </c>
      <c r="K1967" s="1" cm="1">
        <f t="array" ref="K1967">(SUMPRODUCT(("Var_Cap"=[1]OUT_TransportEnergyCons!$B$4:$B$10000)*1,ISNUMBER(SEARCH("T_B_u*ICE*DSL*s4",[1]OUT_TransportEnergyCons!$A$4:$A$10000))*1,[1]OUT_TransportEnergyCons!I$4:I$10000))*1000</f>
        <v>-2.0538878413607498E-6</v>
      </c>
    </row>
    <row r="1968" spans="2:11" x14ac:dyDescent="0.35">
      <c r="B1968" s="5" t="str">
        <f t="shared" si="1246"/>
        <v>SPS3</v>
      </c>
      <c r="C1968" s="5" t="str">
        <f t="shared" si="1248"/>
        <v>CH</v>
      </c>
      <c r="D1968" t="s">
        <v>2008</v>
      </c>
      <c r="E1968" t="s">
        <v>2000</v>
      </c>
      <c r="F1968" s="1" cm="1">
        <f t="array" ref="F1968">(SUMPRODUCT(("Var_Cap"=[1]OUT_TransportEnergyCons!$B$4:$B$10000)*1,ISNUMBER(SEARCH("T_B_u*ICE*nga*ext",[1]OUT_TransportEnergyCons!$A$4:$A$10000))*1,[1]OUT_TransportEnergyCons!D$4:D$10000))*1000</f>
        <v>8.3575401730531504E-2</v>
      </c>
      <c r="G1968" s="1" cm="1">
        <f t="array" ref="G1968">(SUMPRODUCT(("Var_Cap"=[1]OUT_TransportEnergyCons!$B$4:$B$10000)*1,ISNUMBER(SEARCH("T_B_u*ICE*nga*ext",[1]OUT_TransportEnergyCons!$A$4:$A$10000))*1,[1]OUT_TransportEnergyCons!E$4:E$10000))*1000</f>
        <v>6.68603213844252E-2</v>
      </c>
      <c r="H1968" s="1" cm="1">
        <f t="array" ref="H1968">(SUMPRODUCT(("Var_Cap"=[1]OUT_TransportEnergyCons!$B$4:$B$10000)*1,ISNUMBER(SEARCH("T_B_u*ICE*nga*ext",[1]OUT_TransportEnergyCons!$A$4:$A$10000))*1,[1]OUT_TransportEnergyCons!F$4:F$10000))*1000</f>
        <v>4.1787700865265807E-2</v>
      </c>
      <c r="I1968" s="1" cm="1">
        <f t="array" ref="I1968">(SUMPRODUCT(("Var_Cap"=[1]OUT_TransportEnergyCons!$B$4:$B$10000)*1,ISNUMBER(SEARCH("T_B_u*ICE*nga*ext",[1]OUT_TransportEnergyCons!$A$4:$A$10000))*1,[1]OUT_TransportEnergyCons!G$4:G$10000))*1000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(SUMPRODUCT(("Var_Cap"=[1]OUT_TransportEnergyCons!$B$4:$B$10000)*1,ISNUMBER(SEARCH("T_B_u*ICE*nga*ext",[1]OUT_TransportEnergyCons!$A$4:$A$10000))*1,[1]OUT_TransportEnergyCons!H$4:H$10000))*1000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(SUMPRODUCT(("Var_Cap"=[1]OUT_TransportEnergyCons!$B$4:$B$10000)*1,ISNUMBER(SEARCH("T_B_u*ICE*nga*ext",[1]OUT_TransportEnergyCons!$A$4:$A$10000))*1,[1]OUT_TransportEnergyCons!I$4:I$10000))*1000</f>
        <v>0</v>
      </c>
    </row>
    <row r="1969" spans="2:11" x14ac:dyDescent="0.35">
      <c r="B1969" s="5" t="str">
        <f t="shared" si="1246"/>
        <v>SPS3</v>
      </c>
      <c r="C1969" s="5" t="str">
        <f t="shared" si="1248"/>
        <v>CH</v>
      </c>
      <c r="D1969" t="s">
        <v>1996</v>
      </c>
      <c r="E1969" t="s">
        <v>2000</v>
      </c>
      <c r="F1969" s="1" cm="1">
        <f t="array" ref="F1969">(SUMPRODUCT(("Var_Cap"=[1]OUT_TransportEnergyCons!$B$4:$B$10000)*1,ISNUMBER(SEARCH("T_B_u*ICE*nga*s1",[1]OUT_TransportEnergyCons!$A$4:$A$10000))*1,[1]OUT_TransportEnergyCons!D$4:D$10000))*1000</f>
        <v>0</v>
      </c>
      <c r="G1969" s="1" cm="1">
        <f t="array" ref="G1969">(SUMPRODUCT(("Var_Cap"=[1]OUT_TransportEnergyCons!$B$4:$B$10000)*1,ISNUMBER(SEARCH("T_B_u*ICE*nga*s1",[1]OUT_TransportEnergyCons!$A$4:$A$10000))*1,[1]OUT_TransportEnergyCons!E$4:E$10000))*1000</f>
        <v>3.1434207582249602E-4</v>
      </c>
      <c r="H1969" s="1" cm="1">
        <f t="array" ref="H1969">(SUMPRODUCT(("Var_Cap"=[1]OUT_TransportEnergyCons!$B$4:$B$10000)*1,ISNUMBER(SEARCH("T_B_u*ICE*nga*s1",[1]OUT_TransportEnergyCons!$A$4:$A$10000))*1,[1]OUT_TransportEnergyCons!F$4:F$10000))*1000</f>
        <v>2.69201363593687E-3</v>
      </c>
      <c r="I1969" s="1" cm="1">
        <f t="array" ref="I1969">(SUMPRODUCT(("Var_Cap"=[1]OUT_TransportEnergyCons!$B$4:$B$10000)*1,ISNUMBER(SEARCH("T_B_u*ICE*nga*s1",[1]OUT_TransportEnergyCons!$A$4:$A$10000))*1,[1]OUT_TransportEnergyCons!G$4:G$10000))*1000</f>
        <v>1.4177699511412005E-4</v>
      </c>
      <c r="J1969" s="1" cm="1">
        <f t="array" ref="J1969">(SUMPRODUCT(("Var_Cap"=[1]OUT_TransportEnergyCons!$B$4:$B$10000)*1,ISNUMBER(SEARCH("T_B_u*ICE*nga*s1",[1]OUT_TransportEnergyCons!$A$4:$A$10000))*1,[1]OUT_TransportEnergyCons!H$4:H$10000))*1000</f>
        <v>1.6495982074121E-4</v>
      </c>
      <c r="K1969" s="1" cm="1">
        <f t="array" ref="K1969">(SUMPRODUCT(("Var_Cap"=[1]OUT_TransportEnergyCons!$B$4:$B$10000)*1,ISNUMBER(SEARCH("T_B_u*ICE*nga*s1",[1]OUT_TransportEnergyCons!$A$4:$A$10000))*1,[1]OUT_TransportEnergyCons!I$4:I$10000))*1000</f>
        <v>1.4623917531068699E-4</v>
      </c>
    </row>
    <row r="1970" spans="2:11" x14ac:dyDescent="0.35">
      <c r="B1970" s="5" t="str">
        <f t="shared" si="1246"/>
        <v>SPS3</v>
      </c>
      <c r="C1970" s="5" t="str">
        <f t="shared" si="1248"/>
        <v>CH</v>
      </c>
      <c r="D1970" t="s">
        <v>1997</v>
      </c>
      <c r="E1970" t="s">
        <v>2000</v>
      </c>
      <c r="F1970" s="1" cm="1">
        <f t="array" ref="F1970">(SUMPRODUCT(("Var_Cap"=[1]OUT_TransportEnergyCons!$B$4:$B$10000)*1,ISNUMBER(SEARCH("T_B_u*ICE*nga*s2",[1]OUT_TransportEnergyCons!$A$4:$A$10000))*1,[1]OUT_TransportEnergyCons!D$4:D$10000))*1000</f>
        <v>0</v>
      </c>
      <c r="G1970" s="1" cm="1">
        <f t="array" ref="G1970">(SUMPRODUCT(("Var_Cap"=[1]OUT_TransportEnergyCons!$B$4:$B$10000)*1,ISNUMBER(SEARCH("T_B_u*ICE*nga*s2",[1]OUT_TransportEnergyCons!$A$4:$A$10000))*1,[1]OUT_TransportEnergyCons!E$4:E$10000))*1000</f>
        <v>1.09306867423308E-4</v>
      </c>
      <c r="H1970" s="1" cm="1">
        <f t="array" ref="H1970">(SUMPRODUCT(("Var_Cap"=[1]OUT_TransportEnergyCons!$B$4:$B$10000)*1,ISNUMBER(SEARCH("T_B_u*ICE*nga*s2",[1]OUT_TransportEnergyCons!$A$4:$A$10000))*1,[1]OUT_TransportEnergyCons!F$4:F$10000))*1000</f>
        <v>3.7937696689837098E-3</v>
      </c>
      <c r="I1970" s="1" cm="1">
        <f t="array" ref="I1970">(SUMPRODUCT(("Var_Cap"=[1]OUT_TransportEnergyCons!$B$4:$B$10000)*1,ISNUMBER(SEARCH("T_B_u*ICE*nga*s2",[1]OUT_TransportEnergyCons!$A$4:$A$10000))*1,[1]OUT_TransportEnergyCons!G$4:G$10000))*1000</f>
        <v>7.2459134759619918E-5</v>
      </c>
      <c r="J1970" s="1" cm="1">
        <f t="array" ref="J1970">(SUMPRODUCT(("Var_Cap"=[1]OUT_TransportEnergyCons!$B$4:$B$10000)*1,ISNUMBER(SEARCH("T_B_u*ICE*nga*s2",[1]OUT_TransportEnergyCons!$A$4:$A$10000))*1,[1]OUT_TransportEnergyCons!H$4:H$10000))*1000</f>
        <v>6.5208348271303699E-5</v>
      </c>
      <c r="K1970" s="1" cm="1">
        <f t="array" ref="K1970">(SUMPRODUCT(("Var_Cap"=[1]OUT_TransportEnergyCons!$B$4:$B$10000)*1,ISNUMBER(SEARCH("T_B_u*ICE*nga*s2",[1]OUT_TransportEnergyCons!$A$4:$A$10000))*1,[1]OUT_TransportEnergyCons!I$4:I$10000))*1000</f>
        <v>4.9982785384798704E-5</v>
      </c>
    </row>
    <row r="1971" spans="2:11" x14ac:dyDescent="0.35">
      <c r="B1971" s="5" t="str">
        <f t="shared" si="1246"/>
        <v>SPS3</v>
      </c>
      <c r="C1971" s="5" t="str">
        <f t="shared" si="1248"/>
        <v>CH</v>
      </c>
      <c r="D1971" t="s">
        <v>1998</v>
      </c>
      <c r="E1971" t="s">
        <v>2000</v>
      </c>
      <c r="F1971" s="1" cm="1">
        <f t="array" ref="F1971">(SUMPRODUCT(("Var_Cap"=[1]OUT_TransportEnergyCons!$B$4:$B$10000)*1,ISNUMBER(SEARCH("T_B_u*ICE*nga*s3",[1]OUT_TransportEnergyCons!$A$4:$A$10000))*1,[1]OUT_TransportEnergyCons!D$4:D$10000))*1000</f>
        <v>0</v>
      </c>
      <c r="G1971" s="1" cm="1">
        <f t="array" ref="G1971">(SUMPRODUCT(("Var_Cap"=[1]OUT_TransportEnergyCons!$B$4:$B$10000)*1,ISNUMBER(SEARCH("T_B_u*ICE*nga*s3",[1]OUT_TransportEnergyCons!$A$4:$A$10000))*1,[1]OUT_TransportEnergyCons!E$4:E$10000))*1000</f>
        <v>4.7101235372120098E-5</v>
      </c>
      <c r="H1971" s="1" cm="1">
        <f t="array" ref="H1971">(SUMPRODUCT(("Var_Cap"=[1]OUT_TransportEnergyCons!$B$4:$B$10000)*1,ISNUMBER(SEARCH("T_B_u*ICE*nga*s3",[1]OUT_TransportEnergyCons!$A$4:$A$10000))*1,[1]OUT_TransportEnergyCons!F$4:F$10000))*1000</f>
        <v>2.3804939934781503E-2</v>
      </c>
      <c r="I1971" s="1" cm="1">
        <f t="array" ref="I1971">(SUMPRODUCT(("Var_Cap"=[1]OUT_TransportEnergyCons!$B$4:$B$10000)*1,ISNUMBER(SEARCH("T_B_u*ICE*nga*s3",[1]OUT_TransportEnergyCons!$A$4:$A$10000))*1,[1]OUT_TransportEnergyCons!G$4:G$10000))*1000</f>
        <v>4.3774772491100253E-5</v>
      </c>
      <c r="J1971" s="1" cm="1">
        <f t="array" ref="J1971">(SUMPRODUCT(("Var_Cap"=[1]OUT_TransportEnergyCons!$B$4:$B$10000)*1,ISNUMBER(SEARCH("T_B_u*ICE*nga*s3",[1]OUT_TransportEnergyCons!$A$4:$A$10000))*1,[1]OUT_TransportEnergyCons!H$4:H$10000))*1000</f>
        <v>-1.6836143675158396E-5</v>
      </c>
      <c r="K1971" s="1" cm="1">
        <f t="array" ref="K1971">(SUMPRODUCT(("Var_Cap"=[1]OUT_TransportEnergyCons!$B$4:$B$10000)*1,ISNUMBER(SEARCH("T_B_u*ICE*nga*s3",[1]OUT_TransportEnergyCons!$A$4:$A$10000))*1,[1]OUT_TransportEnergyCons!I$4:I$10000))*1000</f>
        <v>-7.7372861738422092E-6</v>
      </c>
    </row>
    <row r="1972" spans="2:11" x14ac:dyDescent="0.35">
      <c r="B1972" s="5" t="str">
        <f t="shared" ref="B1972:B2035" si="1249">B1971</f>
        <v>SPS3</v>
      </c>
      <c r="C1972" s="5" t="str">
        <f t="shared" si="1248"/>
        <v>CH</v>
      </c>
      <c r="D1972" t="s">
        <v>1999</v>
      </c>
      <c r="E1972" t="s">
        <v>2000</v>
      </c>
      <c r="F1972" s="1" cm="1">
        <f t="array" ref="F1972">(SUMPRODUCT(("Var_Cap"=[1]OUT_TransportEnergyCons!$B$4:$B$10000)*1,ISNUMBER(SEARCH("T_B_u*ICE*nga*s4",[1]OUT_TransportEnergyCons!$A$4:$A$10000))*1,[1]OUT_TransportEnergyCons!D$4:D$10000))*1000</f>
        <v>0</v>
      </c>
      <c r="G1972" s="1" cm="1">
        <f t="array" ref="G1972">(SUMPRODUCT(("Var_Cap"=[1]OUT_TransportEnergyCons!$B$4:$B$10000)*1,ISNUMBER(SEARCH("T_B_u*ICE*nga*s4",[1]OUT_TransportEnergyCons!$A$4:$A$10000))*1,[1]OUT_TransportEnergyCons!E$4:E$10000))*1000</f>
        <v>1.66471706975088E-5</v>
      </c>
      <c r="H1972" s="1" cm="1">
        <f t="array" ref="H1972">(SUMPRODUCT(("Var_Cap"=[1]OUT_TransportEnergyCons!$B$4:$B$10000)*1,ISNUMBER(SEARCH("T_B_u*ICE*nga*s4",[1]OUT_TransportEnergyCons!$A$4:$A$10000))*1,[1]OUT_TransportEnergyCons!F$4:F$10000))*1000</f>
        <v>5.82792060063458E-5</v>
      </c>
      <c r="I1972" s="1" cm="1">
        <f t="array" ref="I1972">(SUMPRODUCT(("Var_Cap"=[1]OUT_TransportEnergyCons!$B$4:$B$10000)*1,ISNUMBER(SEARCH("T_B_u*ICE*nga*s4",[1]OUT_TransportEnergyCons!$A$4:$A$10000))*1,[1]OUT_TransportEnergyCons!G$4:G$10000))*1000</f>
        <v>9.4517209378762985E-6</v>
      </c>
      <c r="J1972" s="1" cm="1">
        <f t="array" ref="J1972">(SUMPRODUCT(("Var_Cap"=[1]OUT_TransportEnergyCons!$B$4:$B$10000)*1,ISNUMBER(SEARCH("T_B_u*ICE*nga*s4",[1]OUT_TransportEnergyCons!$A$4:$A$10000))*1,[1]OUT_TransportEnergyCons!H$4:H$10000))*1000</f>
        <v>-3.1989134758453699E-5</v>
      </c>
      <c r="K1972" s="1" cm="1">
        <f t="array" ref="K1972">(SUMPRODUCT(("Var_Cap"=[1]OUT_TransportEnergyCons!$B$4:$B$10000)*1,ISNUMBER(SEARCH("T_B_u*ICE*nga*s4",[1]OUT_TransportEnergyCons!$A$4:$A$10000))*1,[1]OUT_TransportEnergyCons!I$4:I$10000))*1000</f>
        <v>-8.6920195431165206E-6</v>
      </c>
    </row>
    <row r="1973" spans="2:11" x14ac:dyDescent="0.35">
      <c r="B1973" s="5" t="str">
        <f t="shared" si="1249"/>
        <v>SPS3</v>
      </c>
      <c r="C1973" s="5" t="str">
        <f>C1972</f>
        <v>CH</v>
      </c>
      <c r="D1973" s="2" t="s">
        <v>1978</v>
      </c>
      <c r="E1973" s="2" t="s">
        <v>2000</v>
      </c>
      <c r="F1973" s="3">
        <f>SUM(F1974:F1996)</f>
        <v>2.8536712948927434</v>
      </c>
      <c r="G1973" s="3">
        <f t="shared" ref="G1973" si="1250">SUM(G1974:G1996)</f>
        <v>3.0031077142751359</v>
      </c>
      <c r="H1973" s="3">
        <f t="shared" ref="H1973" si="1251">SUM(H1974:H1996)</f>
        <v>2.8906276139773208</v>
      </c>
      <c r="I1973" s="3">
        <f t="shared" ref="I1973" si="1252">SUM(I1974:I1996)</f>
        <v>2.9275370523218922</v>
      </c>
      <c r="J1973" s="3">
        <f t="shared" ref="J1973" si="1253">SUM(J1974:J1996)</f>
        <v>2.9274486884568498</v>
      </c>
      <c r="K1973" s="3">
        <f t="shared" ref="K1973" si="1254">SUM(K1974:K1996)</f>
        <v>2.9935330616552731</v>
      </c>
    </row>
    <row r="1974" spans="2:11" x14ac:dyDescent="0.35">
      <c r="B1974" s="5" t="str">
        <f t="shared" si="1249"/>
        <v>SPS3</v>
      </c>
      <c r="C1974" s="5" t="str">
        <f t="shared" ref="C1974:C1996" si="1255">C1973</f>
        <v>CH</v>
      </c>
      <c r="D1974" t="s">
        <v>2009</v>
      </c>
      <c r="E1974" t="s">
        <v>2000</v>
      </c>
      <c r="F1974" s="1" cm="1">
        <f t="array" ref="F1974">(SUMPRODUCT(("Var_Cap"=[1]OUT_TransportEnergyCons!$B$4:$B$10000)*1,ISNUMBER(SEARCH("T_b_c*bev*ext",[1]OUT_TransportEnergyCons!$A$4:$A$10000))*1,[1]OUT_TransportEnergyCons!D$4:D$10000))*1000</f>
        <v>0</v>
      </c>
      <c r="G1974" s="1" cm="1">
        <f t="array" ref="G1974">(SUMPRODUCT(("Var_Cap"=[1]OUT_TransportEnergyCons!$B$4:$B$10000)*1,ISNUMBER(SEARCH("T_b_c*bev*ext",[1]OUT_TransportEnergyCons!$A$4:$A$10000))*1,[1]OUT_TransportEnergyCons!E$4:E$10000))*1000</f>
        <v>0</v>
      </c>
      <c r="H1974" s="1" cm="1">
        <f t="array" ref="H1974">(SUMPRODUCT(("Var_Cap"=[1]OUT_TransportEnergyCons!$B$4:$B$10000)*1,ISNUMBER(SEARCH("T_b_c*bev*ext",[1]OUT_TransportEnergyCons!$A$4:$A$10000))*1,[1]OUT_TransportEnergyCons!F$4:F$10000))*1000</f>
        <v>0</v>
      </c>
      <c r="I1974" s="1" cm="1">
        <f t="array" ref="I1974">(SUMPRODUCT(("Var_Cap"=[1]OUT_TransportEnergyCons!$B$4:$B$10000)*1,ISNUMBER(SEARCH("T_b_c*bev*ext",[1]OUT_TransportEnergyCons!$A$4:$A$10000))*1,[1]OUT_TransportEnergyCons!G$4:G$10000))*1000</f>
        <v>0</v>
      </c>
      <c r="J1974" s="1" cm="1">
        <f t="array" ref="J1974">(SUMPRODUCT(("Var_Cap"=[1]OUT_TransportEnergyCons!$B$4:$B$10000)*1,ISNUMBER(SEARCH("T_b_c*bev*ext",[1]OUT_TransportEnergyCons!$A$4:$A$10000))*1,[1]OUT_TransportEnergyCons!H$4:H$10000))*1000</f>
        <v>0</v>
      </c>
      <c r="K1974" s="1" cm="1">
        <f t="array" ref="K1974">(SUMPRODUCT(("Var_Cap"=[1]OUT_TransportEnergyCons!$B$4:$B$10000)*1,ISNUMBER(SEARCH("T_b_c*bev*ext",[1]OUT_TransportEnergyCons!$A$4:$A$10000))*1,[1]OUT_TransportEnergyCons!I$4:I$10000))*1000</f>
        <v>0</v>
      </c>
    </row>
    <row r="1975" spans="2:11" x14ac:dyDescent="0.35">
      <c r="B1975" s="5" t="str">
        <f t="shared" si="1249"/>
        <v>SPS3</v>
      </c>
      <c r="C1975" s="5" t="str">
        <f t="shared" si="1255"/>
        <v>CH</v>
      </c>
      <c r="D1975" t="s">
        <v>2010</v>
      </c>
      <c r="E1975" t="s">
        <v>2000</v>
      </c>
      <c r="F1975" s="1" cm="1">
        <f t="array" ref="F1975">(SUMPRODUCT(("Var_Cap"=[1]OUT_TransportEnergyCons!$B$4:$B$10000)*1,ISNUMBER(SEARCH("T_b_c*bev*s1",[1]OUT_TransportEnergyCons!$A$4:$A$10000))*1,[1]OUT_TransportEnergyCons!D$4:D$10000))*1000</f>
        <v>2.9463723822450829E-3</v>
      </c>
      <c r="G1975" s="1" cm="1">
        <f t="array" ref="G1975">(SUMPRODUCT(("Var_Cap"=[1]OUT_TransportEnergyCons!$B$4:$B$10000)*1,ISNUMBER(SEARCH("T_b_c*bev*s1",[1]OUT_TransportEnergyCons!$A$4:$A$10000))*1,[1]OUT_TransportEnergyCons!E$4:E$10000))*1000</f>
        <v>5.3374099209586388E-3</v>
      </c>
      <c r="H1975" s="1" cm="1">
        <f t="array" ref="H1975">(SUMPRODUCT(("Var_Cap"=[1]OUT_TransportEnergyCons!$B$4:$B$10000)*1,ISNUMBER(SEARCH("T_b_c*bev*s1",[1]OUT_TransportEnergyCons!$A$4:$A$10000))*1,[1]OUT_TransportEnergyCons!F$4:F$10000))*1000</f>
        <v>1.075377908191643E-2</v>
      </c>
      <c r="I1975" s="1" cm="1">
        <f t="array" ref="I1975">(SUMPRODUCT(("Var_Cap"=[1]OUT_TransportEnergyCons!$B$4:$B$10000)*1,ISNUMBER(SEARCH("T_b_c*bev*s1",[1]OUT_TransportEnergyCons!$A$4:$A$10000))*1,[1]OUT_TransportEnergyCons!G$4:G$10000))*1000</f>
        <v>1.4067860506101144</v>
      </c>
      <c r="J1975" s="1" cm="1">
        <f t="array" ref="J1975">(SUMPRODUCT(("Var_Cap"=[1]OUT_TransportEnergyCons!$B$4:$B$10000)*1,ISNUMBER(SEARCH("T_b_c*bev*s1",[1]OUT_TransportEnergyCons!$A$4:$A$10000))*1,[1]OUT_TransportEnergyCons!H$4:H$10000))*1000</f>
        <v>1.13684932964245</v>
      </c>
      <c r="K1975" s="1" cm="1">
        <f t="array" ref="K1975">(SUMPRODUCT(("Var_Cap"=[1]OUT_TransportEnergyCons!$B$4:$B$10000)*1,ISNUMBER(SEARCH("T_b_c*bev*s1",[1]OUT_TransportEnergyCons!$A$4:$A$10000))*1,[1]OUT_TransportEnergyCons!I$4:I$10000))*1000</f>
        <v>1.2417308131528719</v>
      </c>
    </row>
    <row r="1976" spans="2:11" x14ac:dyDescent="0.35">
      <c r="B1976" s="5" t="str">
        <f t="shared" si="1249"/>
        <v>SPS3</v>
      </c>
      <c r="C1976" s="5" t="str">
        <f t="shared" si="1255"/>
        <v>CH</v>
      </c>
      <c r="D1976" t="s">
        <v>2011</v>
      </c>
      <c r="E1976" t="s">
        <v>2000</v>
      </c>
      <c r="F1976" s="1" cm="1">
        <f t="array" ref="F1976">(SUMPRODUCT(("Var_Cap"=[1]OUT_TransportEnergyCons!$B$4:$B$10000)*1,ISNUMBER(SEARCH("T_b_c*bev*s2",[1]OUT_TransportEnergyCons!$A$4:$A$10000))*1,[1]OUT_TransportEnergyCons!D$4:D$10000))*1000</f>
        <v>4.571059219790021E-3</v>
      </c>
      <c r="G1976" s="1" cm="1">
        <f t="array" ref="G1976">(SUMPRODUCT(("Var_Cap"=[1]OUT_TransportEnergyCons!$B$4:$B$10000)*1,ISNUMBER(SEARCH("T_b_c*bev*s2",[1]OUT_TransportEnergyCons!$A$4:$A$10000))*1,[1]OUT_TransportEnergyCons!E$4:E$10000))*1000</f>
        <v>4.8411156265224797E-3</v>
      </c>
      <c r="H1976" s="1" cm="1">
        <f t="array" ref="H1976">(SUMPRODUCT(("Var_Cap"=[1]OUT_TransportEnergyCons!$B$4:$B$10000)*1,ISNUMBER(SEARCH("T_b_c*bev*s2",[1]OUT_TransportEnergyCons!$A$4:$A$10000))*1,[1]OUT_TransportEnergyCons!F$4:F$10000))*1000</f>
        <v>8.9352239395390706E-3</v>
      </c>
      <c r="I1976" s="1" cm="1">
        <f t="array" ref="I1976">(SUMPRODUCT(("Var_Cap"=[1]OUT_TransportEnergyCons!$B$4:$B$10000)*1,ISNUMBER(SEARCH("T_b_c*bev*s2",[1]OUT_TransportEnergyCons!$A$4:$A$10000))*1,[1]OUT_TransportEnergyCons!G$4:G$10000))*1000</f>
        <v>1.1862532759912023</v>
      </c>
      <c r="J1976" s="1" cm="1">
        <f t="array" ref="J1976">(SUMPRODUCT(("Var_Cap"=[1]OUT_TransportEnergyCons!$B$4:$B$10000)*1,ISNUMBER(SEARCH("T_b_c*bev*s2",[1]OUT_TransportEnergyCons!$A$4:$A$10000))*1,[1]OUT_TransportEnergyCons!H$4:H$10000))*1000</f>
        <v>1.2453460750250824</v>
      </c>
      <c r="K1976" s="1" cm="1">
        <f t="array" ref="K1976">(SUMPRODUCT(("Var_Cap"=[1]OUT_TransportEnergyCons!$B$4:$B$10000)*1,ISNUMBER(SEARCH("T_b_c*bev*s2",[1]OUT_TransportEnergyCons!$A$4:$A$10000))*1,[1]OUT_TransportEnergyCons!I$4:I$10000))*1000</f>
        <v>1.2178910461423511</v>
      </c>
    </row>
    <row r="1977" spans="2:11" x14ac:dyDescent="0.35">
      <c r="B1977" s="5" t="str">
        <f t="shared" si="1249"/>
        <v>SPS3</v>
      </c>
      <c r="C1977" s="5" t="str">
        <f t="shared" si="1255"/>
        <v>CH</v>
      </c>
      <c r="D1977" t="s">
        <v>2012</v>
      </c>
      <c r="E1977" t="s">
        <v>2000</v>
      </c>
      <c r="F1977" s="1" cm="1">
        <f t="array" ref="F1977">(SUMPRODUCT(("Var_Cap"=[1]OUT_TransportEnergyCons!$B$4:$B$10000)*1,ISNUMBER(SEARCH("T_b_c*bev*s3",[1]OUT_TransportEnergyCons!$A$4:$A$10000))*1,[1]OUT_TransportEnergyCons!D$4:D$10000))*1000</f>
        <v>1.30698388025723E-3</v>
      </c>
      <c r="G1977" s="1" cm="1">
        <f t="array" ref="G1977">(SUMPRODUCT(("Var_Cap"=[1]OUT_TransportEnergyCons!$B$4:$B$10000)*1,ISNUMBER(SEARCH("T_b_c*bev*s3",[1]OUT_TransportEnergyCons!$A$4:$A$10000))*1,[1]OUT_TransportEnergyCons!E$4:E$10000))*1000</f>
        <v>2.3573352442140369E-3</v>
      </c>
      <c r="H1977" s="1" cm="1">
        <f t="array" ref="H1977">(SUMPRODUCT(("Var_Cap"=[1]OUT_TransportEnergyCons!$B$4:$B$10000)*1,ISNUMBER(SEARCH("T_b_c*bev*s3",[1]OUT_TransportEnergyCons!$A$4:$A$10000))*1,[1]OUT_TransportEnergyCons!F$4:F$10000))*1000</f>
        <v>3.47472580304721E-3</v>
      </c>
      <c r="I1977" s="1" cm="1">
        <f t="array" ref="I1977">(SUMPRODUCT(("Var_Cap"=[1]OUT_TransportEnergyCons!$B$4:$B$10000)*1,ISNUMBER(SEARCH("T_b_c*bev*s3",[1]OUT_TransportEnergyCons!$A$4:$A$10000))*1,[1]OUT_TransportEnergyCons!G$4:G$10000))*1000</f>
        <v>6.5346815082381301E-3</v>
      </c>
      <c r="J1977" s="1" cm="1">
        <f t="array" ref="J1977">(SUMPRODUCT(("Var_Cap"=[1]OUT_TransportEnergyCons!$B$4:$B$10000)*1,ISNUMBER(SEARCH("T_b_c*bev*s3",[1]OUT_TransportEnergyCons!$A$4:$A$10000))*1,[1]OUT_TransportEnergyCons!H$4:H$10000))*1000</f>
        <v>0.26516341614292899</v>
      </c>
      <c r="K1977" s="1" cm="1">
        <f t="array" ref="K1977">(SUMPRODUCT(("Var_Cap"=[1]OUT_TransportEnergyCons!$B$4:$B$10000)*1,ISNUMBER(SEARCH("T_b_c*bev*s3",[1]OUT_TransportEnergyCons!$A$4:$A$10000))*1,[1]OUT_TransportEnergyCons!I$4:I$10000))*1000</f>
        <v>0.26032716993722588</v>
      </c>
    </row>
    <row r="1978" spans="2:11" x14ac:dyDescent="0.35">
      <c r="B1978" s="5" t="str">
        <f t="shared" si="1249"/>
        <v>SPS3</v>
      </c>
      <c r="C1978" s="5" t="str">
        <f t="shared" si="1255"/>
        <v>CH</v>
      </c>
      <c r="D1978" t="s">
        <v>2013</v>
      </c>
      <c r="E1978" t="s">
        <v>2000</v>
      </c>
      <c r="F1978" s="1" cm="1">
        <f t="array" ref="F1978">(SUMPRODUCT(("Var_Cap"=[1]OUT_TransportEnergyCons!$B$4:$B$10000)*1,ISNUMBER(SEARCH("T_b_c*bev*s4",[1]OUT_TransportEnergyCons!$A$4:$A$10000))*1,[1]OUT_TransportEnergyCons!D$4:D$10000))*1000</f>
        <v>0</v>
      </c>
      <c r="G1978" s="1" cm="1">
        <f t="array" ref="G1978">(SUMPRODUCT(("Var_Cap"=[1]OUT_TransportEnergyCons!$B$4:$B$10000)*1,ISNUMBER(SEARCH("T_b_c*bev*s4",[1]OUT_TransportEnergyCons!$A$4:$A$10000))*1,[1]OUT_TransportEnergyCons!E$4:E$10000))*1000</f>
        <v>3.93791536721855E-4</v>
      </c>
      <c r="H1978" s="1" cm="1">
        <f t="array" ref="H1978">(SUMPRODUCT(("Var_Cap"=[1]OUT_TransportEnergyCons!$B$4:$B$10000)*1,ISNUMBER(SEARCH("T_b_c*bev*s4",[1]OUT_TransportEnergyCons!$A$4:$A$10000))*1,[1]OUT_TransportEnergyCons!F$4:F$10000))*1000</f>
        <v>7.7991667643877497E-4</v>
      </c>
      <c r="I1978" s="1" cm="1">
        <f t="array" ref="I1978">(SUMPRODUCT(("Var_Cap"=[1]OUT_TransportEnergyCons!$B$4:$B$10000)*1,ISNUMBER(SEARCH("T_b_c*bev*s4",[1]OUT_TransportEnergyCons!$A$4:$A$10000))*1,[1]OUT_TransportEnergyCons!G$4:G$10000))*1000</f>
        <v>8.8903530822490994E-4</v>
      </c>
      <c r="J1978" s="1" cm="1">
        <f t="array" ref="J1978">(SUMPRODUCT(("Var_Cap"=[1]OUT_TransportEnergyCons!$B$4:$B$10000)*1,ISNUMBER(SEARCH("T_b_c*bev*s4",[1]OUT_TransportEnergyCons!$A$4:$A$10000))*1,[1]OUT_TransportEnergyCons!H$4:H$10000))*1000</f>
        <v>6.7930137659573289E-4</v>
      </c>
      <c r="K1978" s="1" cm="1">
        <f t="array" ref="K1978">(SUMPRODUCT(("Var_Cap"=[1]OUT_TransportEnergyCons!$B$4:$B$10000)*1,ISNUMBER(SEARCH("T_b_c*bev*s4",[1]OUT_TransportEnergyCons!$A$4:$A$10000))*1,[1]OUT_TransportEnergyCons!I$4:I$10000))*1000</f>
        <v>3.2325386436239949E-4</v>
      </c>
    </row>
    <row r="1979" spans="2:11" x14ac:dyDescent="0.35">
      <c r="B1979" s="5" t="str">
        <f t="shared" si="1249"/>
        <v>SPS3</v>
      </c>
      <c r="C1979" s="5" t="str">
        <f t="shared" si="1255"/>
        <v>CH</v>
      </c>
      <c r="D1979" t="s">
        <v>2014</v>
      </c>
      <c r="E1979" t="s">
        <v>2000</v>
      </c>
      <c r="F1979" s="1" cm="1">
        <f t="array" ref="F1979">(SUMPRODUCT(("Var_Cap"=[1]OUT_TransportEnergyCons!$B$4:$B$10000)*1,ISNUMBER(SEARCH("T_b_c*h2o*s1",[1]OUT_TransportEnergyCons!$A$4:$A$10000))*1,[1]OUT_TransportEnergyCons!D$4:D$10000))*1000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(SUMPRODUCT(("Var_Cap"=[1]OUT_TransportEnergyCons!$B$4:$B$10000)*1,ISNUMBER(SEARCH("T_b_c*h2o*s1",[1]OUT_TransportEnergyCons!$A$4:$A$10000))*1,[1]OUT_TransportEnergyCons!E$4:E$10000))*1000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(SUMPRODUCT(("Var_Cap"=[1]OUT_TransportEnergyCons!$B$4:$B$10000)*1,ISNUMBER(SEARCH("T_b_c*h2o*s1",[1]OUT_TransportEnergyCons!$A$4:$A$10000))*1,[1]OUT_TransportEnergyCons!F$4:F$10000))*1000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(SUMPRODUCT(("Var_Cap"=[1]OUT_TransportEnergyCons!$B$4:$B$10000)*1,ISNUMBER(SEARCH("T_b_c*h2o*s1",[1]OUT_TransportEnergyCons!$A$4:$A$10000))*1,[1]OUT_TransportEnergyCons!G$4:G$10000))*1000</f>
        <v>3.12375651307152E-5</v>
      </c>
      <c r="J1979" s="1" cm="1">
        <f t="array" ref="J1979">(SUMPRODUCT(("Var_Cap"=[1]OUT_TransportEnergyCons!$B$4:$B$10000)*1,ISNUMBER(SEARCH("T_b_c*h2o*s1",[1]OUT_TransportEnergyCons!$A$4:$A$10000))*1,[1]OUT_TransportEnergyCons!H$4:H$10000))*1000</f>
        <v>2.7789681334027792E-5</v>
      </c>
      <c r="K1979" s="1" cm="1">
        <f t="array" ref="K1979">(SUMPRODUCT(("Var_Cap"=[1]OUT_TransportEnergyCons!$B$4:$B$10000)*1,ISNUMBER(SEARCH("T_b_c*h2o*s1",[1]OUT_TransportEnergyCons!$A$4:$A$10000))*1,[1]OUT_TransportEnergyCons!I$4:I$10000))*1000</f>
        <v>4.5266426343144697E-5</v>
      </c>
    </row>
    <row r="1980" spans="2:11" x14ac:dyDescent="0.35">
      <c r="B1980" s="5" t="str">
        <f t="shared" si="1249"/>
        <v>SPS3</v>
      </c>
      <c r="C1980" s="5" t="str">
        <f t="shared" si="1255"/>
        <v>CH</v>
      </c>
      <c r="D1980" t="s">
        <v>2015</v>
      </c>
      <c r="E1980" t="s">
        <v>2000</v>
      </c>
      <c r="F1980" s="1" cm="1">
        <f t="array" ref="F1980">(SUMPRODUCT(("Var_Cap"=[1]OUT_TransportEnergyCons!$B$4:$B$10000)*1,ISNUMBER(SEARCH("T_b_c*h2o*s2",[1]OUT_TransportEnergyCons!$A$4:$A$10000))*1,[1]OUT_TransportEnergyCons!D$4:D$10000))*1000</f>
        <v>0</v>
      </c>
      <c r="G1980" s="1" cm="1">
        <f t="array" ref="G1980">(SUMPRODUCT(("Var_Cap"=[1]OUT_TransportEnergyCons!$B$4:$B$10000)*1,ISNUMBER(SEARCH("T_b_c*h2o*s2",[1]OUT_TransportEnergyCons!$A$4:$A$10000))*1,[1]OUT_TransportEnergyCons!E$4:E$10000))*1000</f>
        <v>0</v>
      </c>
      <c r="H1980" s="1" cm="1">
        <f t="array" ref="H1980">(SUMPRODUCT(("Var_Cap"=[1]OUT_TransportEnergyCons!$B$4:$B$10000)*1,ISNUMBER(SEARCH("T_b_c*h2o*s2",[1]OUT_TransportEnergyCons!$A$4:$A$10000))*1,[1]OUT_TransportEnergyCons!F$4:F$10000))*1000</f>
        <v>0</v>
      </c>
      <c r="I1980" s="1" cm="1">
        <f t="array" ref="I1980">(SUMPRODUCT(("Var_Cap"=[1]OUT_TransportEnergyCons!$B$4:$B$10000)*1,ISNUMBER(SEARCH("T_b_c*h2o*s2",[1]OUT_TransportEnergyCons!$A$4:$A$10000))*1,[1]OUT_TransportEnergyCons!G$4:G$10000))*1000</f>
        <v>0</v>
      </c>
      <c r="J1980" s="1" cm="1">
        <f t="array" ref="J1980">(SUMPRODUCT(("Var_Cap"=[1]OUT_TransportEnergyCons!$B$4:$B$10000)*1,ISNUMBER(SEARCH("T_b_c*h2o*s2",[1]OUT_TransportEnergyCons!$A$4:$A$10000))*1,[1]OUT_TransportEnergyCons!H$4:H$10000))*1000</f>
        <v>-4.3640238418160015E-6</v>
      </c>
      <c r="K1980" s="1" cm="1">
        <f t="array" ref="K1980">(SUMPRODUCT(("Var_Cap"=[1]OUT_TransportEnergyCons!$B$4:$B$10000)*1,ISNUMBER(SEARCH("T_b_c*h2o*s2",[1]OUT_TransportEnergyCons!$A$4:$A$10000))*1,[1]OUT_TransportEnergyCons!I$4:I$10000))*1000</f>
        <v>1.9735273638524E-5</v>
      </c>
    </row>
    <row r="1981" spans="2:11" x14ac:dyDescent="0.35">
      <c r="B1981" s="5" t="str">
        <f t="shared" si="1249"/>
        <v>SPS3</v>
      </c>
      <c r="C1981" s="5" t="str">
        <f t="shared" si="1255"/>
        <v>CH</v>
      </c>
      <c r="D1981" t="s">
        <v>2016</v>
      </c>
      <c r="E1981" t="s">
        <v>2000</v>
      </c>
      <c r="F1981" s="1" cm="1">
        <f t="array" ref="F1981">(SUMPRODUCT(("Var_Cap"=[1]OUT_TransportEnergyCons!$B$4:$B$10000)*1,ISNUMBER(SEARCH("T_b_c*h2o*s3",[1]OUT_TransportEnergyCons!$A$4:$A$10000))*1,[1]OUT_TransportEnergyCons!D$4:D$10000))*1000</f>
        <v>0</v>
      </c>
      <c r="G1981" s="1" cm="1">
        <f t="array" ref="G1981">(SUMPRODUCT(("Var_Cap"=[1]OUT_TransportEnergyCons!$B$4:$B$10000)*1,ISNUMBER(SEARCH("T_b_c*h2o*s3",[1]OUT_TransportEnergyCons!$A$4:$A$10000))*1,[1]OUT_TransportEnergyCons!E$4:E$10000))*1000</f>
        <v>0</v>
      </c>
      <c r="H1981" s="1" cm="1">
        <f t="array" ref="H1981">(SUMPRODUCT(("Var_Cap"=[1]OUT_TransportEnergyCons!$B$4:$B$10000)*1,ISNUMBER(SEARCH("T_b_c*h2o*s3",[1]OUT_TransportEnergyCons!$A$4:$A$10000))*1,[1]OUT_TransportEnergyCons!F$4:F$10000))*1000</f>
        <v>0</v>
      </c>
      <c r="I1981" s="1" cm="1">
        <f t="array" ref="I1981">(SUMPRODUCT(("Var_Cap"=[1]OUT_TransportEnergyCons!$B$4:$B$10000)*1,ISNUMBER(SEARCH("T_b_c*h2o*s3",[1]OUT_TransportEnergyCons!$A$4:$A$10000))*1,[1]OUT_TransportEnergyCons!G$4:G$10000))*1000</f>
        <v>0</v>
      </c>
      <c r="J1981" s="1" cm="1">
        <f t="array" ref="J1981">(SUMPRODUCT(("Var_Cap"=[1]OUT_TransportEnergyCons!$B$4:$B$10000)*1,ISNUMBER(SEARCH("T_b_c*h2o*s3",[1]OUT_TransportEnergyCons!$A$4:$A$10000))*1,[1]OUT_TransportEnergyCons!H$4:H$10000))*1000</f>
        <v>3.9023657212883794E-5</v>
      </c>
      <c r="K1981" s="1" cm="1">
        <f t="array" ref="K1981">(SUMPRODUCT(("Var_Cap"=[1]OUT_TransportEnergyCons!$B$4:$B$10000)*1,ISNUMBER(SEARCH("T_b_c*h2o*s3",[1]OUT_TransportEnergyCons!$A$4:$A$10000))*1,[1]OUT_TransportEnergyCons!I$4:I$10000))*1000</f>
        <v>3.0050751680855399E-5</v>
      </c>
    </row>
    <row r="1982" spans="2:11" x14ac:dyDescent="0.35">
      <c r="B1982" s="5" t="str">
        <f t="shared" si="1249"/>
        <v>SPS3</v>
      </c>
      <c r="C1982" s="5" t="str">
        <f t="shared" si="1255"/>
        <v>CH</v>
      </c>
      <c r="D1982" t="s">
        <v>2017</v>
      </c>
      <c r="E1982" t="s">
        <v>2000</v>
      </c>
      <c r="F1982" s="1" cm="1">
        <f t="array" ref="F1982">(SUMPRODUCT(("Var_Cap"=[1]OUT_TransportEnergyCons!$B$4:$B$10000)*1,ISNUMBER(SEARCH("T_b_c*h2o*s4",[1]OUT_TransportEnergyCons!$A$4:$A$10000))*1,[1]OUT_TransportEnergyCons!D$4:D$10000))*1000</f>
        <v>0</v>
      </c>
      <c r="G1982" s="1" cm="1">
        <f t="array" ref="G1982">(SUMPRODUCT(("Var_Cap"=[1]OUT_TransportEnergyCons!$B$4:$B$10000)*1,ISNUMBER(SEARCH("T_b_c*h2o*s4",[1]OUT_TransportEnergyCons!$A$4:$A$10000))*1,[1]OUT_TransportEnergyCons!E$4:E$10000))*1000</f>
        <v>0</v>
      </c>
      <c r="H1982" s="1" cm="1">
        <f t="array" ref="H1982">(SUMPRODUCT(("Var_Cap"=[1]OUT_TransportEnergyCons!$B$4:$B$10000)*1,ISNUMBER(SEARCH("T_b_c*h2o*s4",[1]OUT_TransportEnergyCons!$A$4:$A$10000))*1,[1]OUT_TransportEnergyCons!F$4:F$10000))*1000</f>
        <v>0</v>
      </c>
      <c r="I1982" s="1" cm="1">
        <f t="array" ref="I1982">(SUMPRODUCT(("Var_Cap"=[1]OUT_TransportEnergyCons!$B$4:$B$10000)*1,ISNUMBER(SEARCH("T_b_c*h2o*s4",[1]OUT_TransportEnergyCons!$A$4:$A$10000))*1,[1]OUT_TransportEnergyCons!G$4:G$10000))*1000</f>
        <v>0</v>
      </c>
      <c r="J1982" s="1" cm="1">
        <f t="array" ref="J1982">(SUMPRODUCT(("Var_Cap"=[1]OUT_TransportEnergyCons!$B$4:$B$10000)*1,ISNUMBER(SEARCH("T_b_c*h2o*s4",[1]OUT_TransportEnergyCons!$A$4:$A$10000))*1,[1]OUT_TransportEnergyCons!H$4:H$10000))*1000</f>
        <v>0</v>
      </c>
      <c r="K1982" s="1" cm="1">
        <f t="array" ref="K1982">(SUMPRODUCT(("Var_Cap"=[1]OUT_TransportEnergyCons!$B$4:$B$10000)*1,ISNUMBER(SEARCH("T_b_c*h2o*s4",[1]OUT_TransportEnergyCons!$A$4:$A$10000))*1,[1]OUT_TransportEnergyCons!I$4:I$10000))*1000</f>
        <v>0</v>
      </c>
    </row>
    <row r="1983" spans="2:11" x14ac:dyDescent="0.35">
      <c r="B1983" s="5" t="str">
        <f t="shared" si="1249"/>
        <v>SPS3</v>
      </c>
      <c r="C1983" s="5" t="str">
        <f t="shared" si="1255"/>
        <v>CH</v>
      </c>
      <c r="D1983" t="s">
        <v>2018</v>
      </c>
      <c r="E1983" t="s">
        <v>2000</v>
      </c>
      <c r="F1983" s="1" cm="1">
        <f t="array" ref="F1983">(SUMPRODUCT(("Var_Cap"=[1]OUT_TransportEnergyCons!$B$4:$B$10000)*1,ISNUMBER(SEARCH("T_b_c*hyb*DSL*s1",[1]OUT_TransportEnergyCons!$A$4:$A$10000))*1,[1]OUT_TransportEnergyCons!D$4:D$10000))*1000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(SUMPRODUCT(("Var_Cap"=[1]OUT_TransportEnergyCons!$B$4:$B$10000)*1,ISNUMBER(SEARCH("T_b_c*hyb*DSL*s1",[1]OUT_TransportEnergyCons!$A$4:$A$10000))*1,[1]OUT_TransportEnergyCons!E$4:E$10000))*1000</f>
        <v>1.5157267731124901E-2</v>
      </c>
      <c r="H1983" s="1" cm="1">
        <f t="array" ref="H1983">(SUMPRODUCT(("Var_Cap"=[1]OUT_TransportEnergyCons!$B$4:$B$10000)*1,ISNUMBER(SEARCH("T_b_c*hyb*DSL*s1",[1]OUT_TransportEnergyCons!$A$4:$A$10000))*1,[1]OUT_TransportEnergyCons!F$4:F$10000))*1000</f>
        <v>1.8028397088411606E-2</v>
      </c>
      <c r="I1983" s="1" cm="1">
        <f t="array" ref="I1983">(SUMPRODUCT(("Var_Cap"=[1]OUT_TransportEnergyCons!$B$4:$B$10000)*1,ISNUMBER(SEARCH("T_b_c*hyb*DSL*s1",[1]OUT_TransportEnergyCons!$A$4:$A$10000))*1,[1]OUT_TransportEnergyCons!G$4:G$10000))*1000</f>
        <v>4.5597525301172004E-3</v>
      </c>
      <c r="J1983" s="1" cm="1">
        <f t="array" ref="J1983">(SUMPRODUCT(("Var_Cap"=[1]OUT_TransportEnergyCons!$B$4:$B$10000)*1,ISNUMBER(SEARCH("T_b_c*hyb*DSL*s1",[1]OUT_TransportEnergyCons!$A$4:$A$10000))*1,[1]OUT_TransportEnergyCons!H$4:H$10000))*1000</f>
        <v>0.27210652146646652</v>
      </c>
      <c r="K1983" s="1" cm="1">
        <f t="array" ref="K1983">(SUMPRODUCT(("Var_Cap"=[1]OUT_TransportEnergyCons!$B$4:$B$10000)*1,ISNUMBER(SEARCH("T_b_c*hyb*DSL*s1",[1]OUT_TransportEnergyCons!$A$4:$A$10000))*1,[1]OUT_TransportEnergyCons!I$4:I$10000))*1000</f>
        <v>0.27227490460655801</v>
      </c>
    </row>
    <row r="1984" spans="2:11" x14ac:dyDescent="0.35">
      <c r="B1984" s="5" t="str">
        <f t="shared" si="1249"/>
        <v>SPS3</v>
      </c>
      <c r="C1984" s="5" t="str">
        <f t="shared" si="1255"/>
        <v>CH</v>
      </c>
      <c r="D1984" t="s">
        <v>2019</v>
      </c>
      <c r="E1984" t="s">
        <v>2000</v>
      </c>
      <c r="F1984" s="1" cm="1">
        <f t="array" ref="F1984">(SUMPRODUCT(("Var_Cap"=[1]OUT_TransportEnergyCons!$B$4:$B$10000)*1,ISNUMBER(SEARCH("T_b_c*hyb*DSL*s2",[1]OUT_TransportEnergyCons!$A$4:$A$10000))*1,[1]OUT_TransportEnergyCons!D$4:D$10000))*1000</f>
        <v>0</v>
      </c>
      <c r="G1984" s="1" cm="1">
        <f t="array" ref="G1984">(SUMPRODUCT(("Var_Cap"=[1]OUT_TransportEnergyCons!$B$4:$B$10000)*1,ISNUMBER(SEARCH("T_b_c*hyb*DSL*s2",[1]OUT_TransportEnergyCons!$A$4:$A$10000))*1,[1]OUT_TransportEnergyCons!E$4:E$10000))*1000</f>
        <v>1.8634098781258898E-3</v>
      </c>
      <c r="H1984" s="1" cm="1">
        <f t="array" ref="H1984">(SUMPRODUCT(("Var_Cap"=[1]OUT_TransportEnergyCons!$B$4:$B$10000)*1,ISNUMBER(SEARCH("T_b_c*hyb*DSL*s2",[1]OUT_TransportEnergyCons!$A$4:$A$10000))*1,[1]OUT_TransportEnergyCons!F$4:F$10000))*1000</f>
        <v>5.5475406331827522E-2</v>
      </c>
      <c r="I1984" s="1" cm="1">
        <f t="array" ref="I1984">(SUMPRODUCT(("Var_Cap"=[1]OUT_TransportEnergyCons!$B$4:$B$10000)*1,ISNUMBER(SEARCH("T_b_c*hyb*DSL*s2",[1]OUT_TransportEnergyCons!$A$4:$A$10000))*1,[1]OUT_TransportEnergyCons!G$4:G$10000))*1000</f>
        <v>6.1811100340738778E-2</v>
      </c>
      <c r="J1984" s="1" cm="1">
        <f t="array" ref="J1984">(SUMPRODUCT(("Var_Cap"=[1]OUT_TransportEnergyCons!$B$4:$B$10000)*1,ISNUMBER(SEARCH("T_b_c*hyb*DSL*s2",[1]OUT_TransportEnergyCons!$A$4:$A$10000))*1,[1]OUT_TransportEnergyCons!H$4:H$10000))*1000</f>
        <v>4.8814702262433085E-3</v>
      </c>
      <c r="K1984" s="1" cm="1">
        <f t="array" ref="K1984">(SUMPRODUCT(("Var_Cap"=[1]OUT_TransportEnergyCons!$B$4:$B$10000)*1,ISNUMBER(SEARCH("T_b_c*hyb*DSL*s2",[1]OUT_TransportEnergyCons!$A$4:$A$10000))*1,[1]OUT_TransportEnergyCons!I$4:I$10000))*1000</f>
        <v>5.0009958846923292E-4</v>
      </c>
    </row>
    <row r="1985" spans="2:11" x14ac:dyDescent="0.35">
      <c r="B1985" s="5" t="str">
        <f t="shared" si="1249"/>
        <v>SPS3</v>
      </c>
      <c r="C1985" s="5" t="str">
        <f t="shared" si="1255"/>
        <v>CH</v>
      </c>
      <c r="D1985" t="s">
        <v>2020</v>
      </c>
      <c r="E1985" t="s">
        <v>2000</v>
      </c>
      <c r="F1985" s="1" cm="1">
        <f t="array" ref="F1985">(SUMPRODUCT(("Var_Cap"=[1]OUT_TransportEnergyCons!$B$4:$B$10000)*1,ISNUMBER(SEARCH("T_b_c*hyb*DSL*s3",[1]OUT_TransportEnergyCons!$A$4:$A$10000))*1,[1]OUT_TransportEnergyCons!D$4:D$10000))*1000</f>
        <v>0</v>
      </c>
      <c r="G1985" s="1" cm="1">
        <f t="array" ref="G1985">(SUMPRODUCT(("Var_Cap"=[1]OUT_TransportEnergyCons!$B$4:$B$10000)*1,ISNUMBER(SEARCH("T_b_c*hyb*DSL*s3",[1]OUT_TransportEnergyCons!$A$4:$A$10000))*1,[1]OUT_TransportEnergyCons!E$4:E$10000))*1000</f>
        <v>8.86665239064571E-4</v>
      </c>
      <c r="H1985" s="1" cm="1">
        <f t="array" ref="H1985">(SUMPRODUCT(("Var_Cap"=[1]OUT_TransportEnergyCons!$B$4:$B$10000)*1,ISNUMBER(SEARCH("T_b_c*hyb*DSL*s3",[1]OUT_TransportEnergyCons!$A$4:$A$10000))*1,[1]OUT_TransportEnergyCons!F$4:F$10000))*1000</f>
        <v>1.7245411404642402E-2</v>
      </c>
      <c r="I1985" s="1" cm="1">
        <f t="array" ref="I1985">(SUMPRODUCT(("Var_Cap"=[1]OUT_TransportEnergyCons!$B$4:$B$10000)*1,ISNUMBER(SEARCH("T_b_c*hyb*DSL*s3",[1]OUT_TransportEnergyCons!$A$4:$A$10000))*1,[1]OUT_TransportEnergyCons!G$4:G$10000))*1000</f>
        <v>0.26041291123877996</v>
      </c>
      <c r="J1985" s="1" cm="1">
        <f t="array" ref="J1985">(SUMPRODUCT(("Var_Cap"=[1]OUT_TransportEnergyCons!$B$4:$B$10000)*1,ISNUMBER(SEARCH("T_b_c*hyb*DSL*s3",[1]OUT_TransportEnergyCons!$A$4:$A$10000))*1,[1]OUT_TransportEnergyCons!H$4:H$10000))*1000</f>
        <v>2.1344481416813469E-3</v>
      </c>
      <c r="K1985" s="1" cm="1">
        <f t="array" ref="K1985">(SUMPRODUCT(("Var_Cap"=[1]OUT_TransportEnergyCons!$B$4:$B$10000)*1,ISNUMBER(SEARCH("T_b_c*hyb*DSL*s3",[1]OUT_TransportEnergyCons!$A$4:$A$10000))*1,[1]OUT_TransportEnergyCons!I$4:I$10000))*1000</f>
        <v>1.4245517701044831E-4</v>
      </c>
    </row>
    <row r="1986" spans="2:11" x14ac:dyDescent="0.35">
      <c r="B1986" s="5" t="str">
        <f t="shared" si="1249"/>
        <v>SPS3</v>
      </c>
      <c r="C1986" s="5" t="str">
        <f t="shared" si="1255"/>
        <v>CH</v>
      </c>
      <c r="D1986" t="s">
        <v>2021</v>
      </c>
      <c r="E1986" t="s">
        <v>2000</v>
      </c>
      <c r="F1986" s="1" cm="1">
        <f t="array" ref="F1986">(SUMPRODUCT(("Var_Cap"=[1]OUT_TransportEnergyCons!$B$4:$B$10000)*1,ISNUMBER(SEARCH("T_b_c*hyb*DSL*s4",[1]OUT_TransportEnergyCons!$A$4:$A$10000))*1,[1]OUT_TransportEnergyCons!D$4:D$10000))*1000</f>
        <v>0</v>
      </c>
      <c r="G1986" s="1" cm="1">
        <f t="array" ref="G1986">(SUMPRODUCT(("Var_Cap"=[1]OUT_TransportEnergyCons!$B$4:$B$10000)*1,ISNUMBER(SEARCH("T_b_c*hyb*DSL*s4",[1]OUT_TransportEnergyCons!$A$4:$A$10000))*1,[1]OUT_TransportEnergyCons!E$4:E$10000))*1000</f>
        <v>1.4361854256461298E-4</v>
      </c>
      <c r="H1986" s="1" cm="1">
        <f t="array" ref="H1986">(SUMPRODUCT(("Var_Cap"=[1]OUT_TransportEnergyCons!$B$4:$B$10000)*1,ISNUMBER(SEARCH("T_b_c*hyb*DSL*s4",[1]OUT_TransportEnergyCons!$A$4:$A$10000))*1,[1]OUT_TransportEnergyCons!F$4:F$10000))*1000</f>
        <v>2.57082393429555E-4</v>
      </c>
      <c r="I1986" s="1" cm="1">
        <f t="array" ref="I1986">(SUMPRODUCT(("Var_Cap"=[1]OUT_TransportEnergyCons!$B$4:$B$10000)*1,ISNUMBER(SEARCH("T_b_c*hyb*DSL*s4",[1]OUT_TransportEnergyCons!$A$4:$A$10000))*1,[1]OUT_TransportEnergyCons!G$4:G$10000))*1000</f>
        <v>2.2071141079616801E-4</v>
      </c>
      <c r="J1986" s="1" cm="1">
        <f t="array" ref="J1986">(SUMPRODUCT(("Var_Cap"=[1]OUT_TransportEnergyCons!$B$4:$B$10000)*1,ISNUMBER(SEARCH("T_b_c*hyb*DSL*s4",[1]OUT_TransportEnergyCons!$A$4:$A$10000))*1,[1]OUT_TransportEnergyCons!H$4:H$10000))*1000</f>
        <v>1.9343637196817406E-5</v>
      </c>
      <c r="K1986" s="1" cm="1">
        <f t="array" ref="K1986">(SUMPRODUCT(("Var_Cap"=[1]OUT_TransportEnergyCons!$B$4:$B$10000)*1,ISNUMBER(SEARCH("T_b_c*hyb*DSL*s4",[1]OUT_TransportEnergyCons!$A$4:$A$10000))*1,[1]OUT_TransportEnergyCons!I$4:I$10000))*1000</f>
        <v>0</v>
      </c>
    </row>
    <row r="1987" spans="2:11" x14ac:dyDescent="0.35">
      <c r="B1987" s="5" t="str">
        <f t="shared" si="1249"/>
        <v>SPS3</v>
      </c>
      <c r="C1987" s="5" t="str">
        <f t="shared" si="1255"/>
        <v>CH</v>
      </c>
      <c r="D1987" t="s">
        <v>2022</v>
      </c>
      <c r="E1987" t="s">
        <v>2000</v>
      </c>
      <c r="F1987" s="1" cm="1">
        <f t="array" ref="F1987">(SUMPRODUCT(("Var_Cap"=[1]OUT_TransportEnergyCons!$B$4:$B$10000)*1,ISNUMBER(SEARCH("T_b_c*ICE*DSL*ext",[1]OUT_TransportEnergyCons!$A$4:$A$10000))*1,[1]OUT_TransportEnergyCons!D$4:D$10000))*1000</f>
        <v>1.3033204752126699</v>
      </c>
      <c r="G1987" s="1" cm="1">
        <f t="array" ref="G1987">(SUMPRODUCT(("Var_Cap"=[1]OUT_TransportEnergyCons!$B$4:$B$10000)*1,ISNUMBER(SEARCH("T_b_c*ICE*DSL*ext",[1]OUT_TransportEnergyCons!$A$4:$A$10000))*1,[1]OUT_TransportEnergyCons!E$4:E$10000))*1000</f>
        <v>1.0426563801701401</v>
      </c>
      <c r="H1987" s="1" cm="1">
        <f t="array" ref="H1987">(SUMPRODUCT(("Var_Cap"=[1]OUT_TransportEnergyCons!$B$4:$B$10000)*1,ISNUMBER(SEARCH("T_b_c*ICE*DSL*ext",[1]OUT_TransportEnergyCons!$A$4:$A$10000))*1,[1]OUT_TransportEnergyCons!F$4:F$10000))*1000</f>
        <v>0.6516352548907991</v>
      </c>
      <c r="I1987" s="1" cm="1">
        <f t="array" ref="I1987">(SUMPRODUCT(("Var_Cap"=[1]OUT_TransportEnergyCons!$B$4:$B$10000)*1,ISNUMBER(SEARCH("T_b_c*ICE*DSL*ext",[1]OUT_TransportEnergyCons!$A$4:$A$10000))*1,[1]OUT_TransportEnergyCons!G$4:G$10000))*1000</f>
        <v>0</v>
      </c>
      <c r="J1987" s="1" cm="1">
        <f t="array" ref="J1987">(SUMPRODUCT(("Var_Cap"=[1]OUT_TransportEnergyCons!$B$4:$B$10000)*1,ISNUMBER(SEARCH("T_b_c*ICE*DSL*ext",[1]OUT_TransportEnergyCons!$A$4:$A$10000))*1,[1]OUT_TransportEnergyCons!H$4:H$10000))*1000</f>
        <v>0</v>
      </c>
      <c r="K1987" s="1" cm="1">
        <f t="array" ref="K1987">(SUMPRODUCT(("Var_Cap"=[1]OUT_TransportEnergyCons!$B$4:$B$10000)*1,ISNUMBER(SEARCH("T_b_c*ICE*DSL*ext",[1]OUT_TransportEnergyCons!$A$4:$A$10000))*1,[1]OUT_TransportEnergyCons!I$4:I$10000))*1000</f>
        <v>0</v>
      </c>
    </row>
    <row r="1988" spans="2:11" x14ac:dyDescent="0.35">
      <c r="B1988" s="5" t="str">
        <f t="shared" si="1249"/>
        <v>SPS3</v>
      </c>
      <c r="C1988" s="5" t="str">
        <f t="shared" si="1255"/>
        <v>CH</v>
      </c>
      <c r="D1988" t="s">
        <v>2023</v>
      </c>
      <c r="E1988" t="s">
        <v>2000</v>
      </c>
      <c r="F1988" s="1" cm="1">
        <f t="array" ref="F1988">(SUMPRODUCT(("Var_Cap"=[1]OUT_TransportEnergyCons!$B$4:$B$10000)*1,ISNUMBER(SEARCH("T_b_c*ICE*DSL*s1",[1]OUT_TransportEnergyCons!$A$4:$A$10000))*1,[1]OUT_TransportEnergyCons!D$4:D$10000))*1000</f>
        <v>0.30580528846153798</v>
      </c>
      <c r="G1988" s="1" cm="1">
        <f t="array" ref="G1988">(SUMPRODUCT(("Var_Cap"=[1]OUT_TransportEnergyCons!$B$4:$B$10000)*1,ISNUMBER(SEARCH("T_b_c*ICE*DSL*s1",[1]OUT_TransportEnergyCons!$A$4:$A$10000))*1,[1]OUT_TransportEnergyCons!E$4:E$10000))*1000</f>
        <v>0.84538117470946395</v>
      </c>
      <c r="H1988" s="1" cm="1">
        <f t="array" ref="H1988">(SUMPRODUCT(("Var_Cap"=[1]OUT_TransportEnergyCons!$B$4:$B$10000)*1,ISNUMBER(SEARCH("T_b_c*ICE*DSL*s1",[1]OUT_TransportEnergyCons!$A$4:$A$10000))*1,[1]OUT_TransportEnergyCons!F$4:F$10000))*1000</f>
        <v>1.0395159051463498</v>
      </c>
      <c r="I1988" s="1" cm="1">
        <f t="array" ref="I1988">(SUMPRODUCT(("Var_Cap"=[1]OUT_TransportEnergyCons!$B$4:$B$10000)*1,ISNUMBER(SEARCH("T_b_c*ICE*DSL*s1",[1]OUT_TransportEnergyCons!$A$4:$A$10000))*1,[1]OUT_TransportEnergyCons!G$4:G$10000))*1000</f>
        <v>-2.3099100835972768E-5</v>
      </c>
      <c r="J1988" s="1" cm="1">
        <f t="array" ref="J1988">(SUMPRODUCT(("Var_Cap"=[1]OUT_TransportEnergyCons!$B$4:$B$10000)*1,ISNUMBER(SEARCH("T_b_c*ICE*DSL*s1",[1]OUT_TransportEnergyCons!$A$4:$A$10000))*1,[1]OUT_TransportEnergyCons!H$4:H$10000))*1000</f>
        <v>5.67751711095202E-5</v>
      </c>
      <c r="K1988" s="1" cm="1">
        <f t="array" ref="K1988">(SUMPRODUCT(("Var_Cap"=[1]OUT_TransportEnergyCons!$B$4:$B$10000)*1,ISNUMBER(SEARCH("T_b_c*ICE*DSL*s1",[1]OUT_TransportEnergyCons!$A$4:$A$10000))*1,[1]OUT_TransportEnergyCons!I$4:I$10000))*1000</f>
        <v>6.6503989473674203E-5</v>
      </c>
    </row>
    <row r="1989" spans="2:11" x14ac:dyDescent="0.35">
      <c r="B1989" s="5" t="str">
        <f t="shared" si="1249"/>
        <v>SPS3</v>
      </c>
      <c r="C1989" s="5" t="str">
        <f t="shared" si="1255"/>
        <v>CH</v>
      </c>
      <c r="D1989" t="s">
        <v>2024</v>
      </c>
      <c r="E1989" t="s">
        <v>2000</v>
      </c>
      <c r="F1989" s="1" cm="1">
        <f t="array" ref="F1989">(SUMPRODUCT(("Var_Cap"=[1]OUT_TransportEnergyCons!$B$4:$B$10000)*1,ISNUMBER(SEARCH("T_b_c*ICE*DSL*s2",[1]OUT_TransportEnergyCons!$A$4:$A$10000))*1,[1]OUT_TransportEnergyCons!D$4:D$10000))*1000</f>
        <v>0.98784375000000002</v>
      </c>
      <c r="G1989" s="1" cm="1">
        <f t="array" ref="G1989">(SUMPRODUCT(("Var_Cap"=[1]OUT_TransportEnergyCons!$B$4:$B$10000)*1,ISNUMBER(SEARCH("T_b_c*ICE*DSL*s2",[1]OUT_TransportEnergyCons!$A$4:$A$10000))*1,[1]OUT_TransportEnergyCons!E$4:E$10000))*1000</f>
        <v>0.87801639369460549</v>
      </c>
      <c r="H1989" s="1" cm="1">
        <f t="array" ref="H1989">(SUMPRODUCT(("Var_Cap"=[1]OUT_TransportEnergyCons!$B$4:$B$10000)*1,ISNUMBER(SEARCH("T_b_c*ICE*DSL*s2",[1]OUT_TransportEnergyCons!$A$4:$A$10000))*1,[1]OUT_TransportEnergyCons!F$4:F$10000))*1000</f>
        <v>0.882211700293977</v>
      </c>
      <c r="I1989" s="1" cm="1">
        <f t="array" ref="I1989">(SUMPRODUCT(("Var_Cap"=[1]OUT_TransportEnergyCons!$B$4:$B$10000)*1,ISNUMBER(SEARCH("T_b_c*ICE*DSL*s2",[1]OUT_TransportEnergyCons!$A$4:$A$10000))*1,[1]OUT_TransportEnergyCons!G$4:G$10000))*1000</f>
        <v>-1.2074268451061666E-5</v>
      </c>
      <c r="J1989" s="1" cm="1">
        <f t="array" ref="J1989">(SUMPRODUCT(("Var_Cap"=[1]OUT_TransportEnergyCons!$B$4:$B$10000)*1,ISNUMBER(SEARCH("T_b_c*ICE*DSL*s2",[1]OUT_TransportEnergyCons!$A$4:$A$10000))*1,[1]OUT_TransportEnergyCons!H$4:H$10000))*1000</f>
        <v>3.2168162938987002E-6</v>
      </c>
      <c r="K1989" s="1" cm="1">
        <f t="array" ref="K1989">(SUMPRODUCT(("Var_Cap"=[1]OUT_TransportEnergyCons!$B$4:$B$10000)*1,ISNUMBER(SEARCH("T_b_c*ICE*DSL*s2",[1]OUT_TransportEnergyCons!$A$4:$A$10000))*1,[1]OUT_TransportEnergyCons!I$4:I$10000))*1000</f>
        <v>2.98329557229547E-5</v>
      </c>
    </row>
    <row r="1990" spans="2:11" x14ac:dyDescent="0.35">
      <c r="B1990" s="5" t="str">
        <f t="shared" si="1249"/>
        <v>SPS3</v>
      </c>
      <c r="C1990" s="5" t="str">
        <f t="shared" si="1255"/>
        <v>CH</v>
      </c>
      <c r="D1990" t="s">
        <v>2025</v>
      </c>
      <c r="E1990" t="s">
        <v>2000</v>
      </c>
      <c r="F1990" s="1" cm="1">
        <f t="array" ref="F1990">(SUMPRODUCT(("Var_Cap"=[1]OUT_TransportEnergyCons!$B$4:$B$10000)*1,ISNUMBER(SEARCH("T_b_c*ICE*DSL*s3",[1]OUT_TransportEnergyCons!$A$4:$A$10000))*1,[1]OUT_TransportEnergyCons!D$4:D$10000))*1000</f>
        <v>0.20389220812557049</v>
      </c>
      <c r="G1990" s="1" cm="1">
        <f t="array" ref="G1990">(SUMPRODUCT(("Var_Cap"=[1]OUT_TransportEnergyCons!$B$4:$B$10000)*1,ISNUMBER(SEARCH("T_b_c*ICE*DSL*s3",[1]OUT_TransportEnergyCons!$A$4:$A$10000))*1,[1]OUT_TransportEnergyCons!E$4:E$10000))*1000</f>
        <v>0.18084726470057258</v>
      </c>
      <c r="H1990" s="1" cm="1">
        <f t="array" ref="H1990">(SUMPRODUCT(("Var_Cap"=[1]OUT_TransportEnergyCons!$B$4:$B$10000)*1,ISNUMBER(SEARCH("T_b_c*ICE*DSL*s3",[1]OUT_TransportEnergyCons!$A$4:$A$10000))*1,[1]OUT_TransportEnergyCons!F$4:F$10000))*1000</f>
        <v>0.1816638258116422</v>
      </c>
      <c r="I1990" s="1" cm="1">
        <f t="array" ref="I1990">(SUMPRODUCT(("Var_Cap"=[1]OUT_TransportEnergyCons!$B$4:$B$10000)*1,ISNUMBER(SEARCH("T_b_c*ICE*DSL*s3",[1]OUT_TransportEnergyCons!$A$4:$A$10000))*1,[1]OUT_TransportEnergyCons!G$4:G$10000))*1000</f>
        <v>-6.903214067068811E-6</v>
      </c>
      <c r="J1990" s="1" cm="1">
        <f t="array" ref="J1990">(SUMPRODUCT(("Var_Cap"=[1]OUT_TransportEnergyCons!$B$4:$B$10000)*1,ISNUMBER(SEARCH("T_b_c*ICE*DSL*s3",[1]OUT_TransportEnergyCons!$A$4:$A$10000))*1,[1]OUT_TransportEnergyCons!H$4:H$10000))*1000</f>
        <v>5.4995687229027596E-5</v>
      </c>
      <c r="K1990" s="1" cm="1">
        <f t="array" ref="K1990">(SUMPRODUCT(("Var_Cap"=[1]OUT_TransportEnergyCons!$B$4:$B$10000)*1,ISNUMBER(SEARCH("T_b_c*ICE*DSL*s3",[1]OUT_TransportEnergyCons!$A$4:$A$10000))*1,[1]OUT_TransportEnergyCons!I$4:I$10000))*1000</f>
        <v>2.82226754539321E-5</v>
      </c>
    </row>
    <row r="1991" spans="2:11" x14ac:dyDescent="0.35">
      <c r="B1991" s="5" t="str">
        <f t="shared" si="1249"/>
        <v>SPS3</v>
      </c>
      <c r="C1991" s="5" t="str">
        <f t="shared" si="1255"/>
        <v>CH</v>
      </c>
      <c r="D1991" t="s">
        <v>2026</v>
      </c>
      <c r="E1991" t="s">
        <v>2000</v>
      </c>
      <c r="F1991" s="1" cm="1">
        <f t="array" ref="F1991">(SUMPRODUCT(("Var_Cap"=[1]OUT_TransportEnergyCons!$B$4:$B$10000)*1,ISNUMBER(SEARCH("T_b_c*ICE*DSL*s4",[1]OUT_TransportEnergyCons!$A$4:$A$10000))*1,[1]OUT_TransportEnergyCons!D$4:D$10000))*1000</f>
        <v>1.4262365002869804E-2</v>
      </c>
      <c r="G1991" s="1" cm="1">
        <f t="array" ref="G1991">(SUMPRODUCT(("Var_Cap"=[1]OUT_TransportEnergyCons!$B$4:$B$10000)*1,ISNUMBER(SEARCH("T_b_c*ICE*DSL*s4",[1]OUT_TransportEnergyCons!$A$4:$A$10000))*1,[1]OUT_TransportEnergyCons!E$4:E$10000))*1000</f>
        <v>9.1659668546477326E-4</v>
      </c>
      <c r="H1991" s="1" cm="1">
        <f t="array" ref="H1991">(SUMPRODUCT(("Var_Cap"=[1]OUT_TransportEnergyCons!$B$4:$B$10000)*1,ISNUMBER(SEARCH("T_b_c*ICE*DSL*s4",[1]OUT_TransportEnergyCons!$A$4:$A$10000))*1,[1]OUT_TransportEnergyCons!F$4:F$10000))*1000</f>
        <v>1.0709039469439445E-3</v>
      </c>
      <c r="I1991" s="1" cm="1">
        <f t="array" ref="I1991">(SUMPRODUCT(("Var_Cap"=[1]OUT_TransportEnergyCons!$B$4:$B$10000)*1,ISNUMBER(SEARCH("T_b_c*ICE*DSL*s4",[1]OUT_TransportEnergyCons!$A$4:$A$10000))*1,[1]OUT_TransportEnergyCons!G$4:G$10000))*1000</f>
        <v>-1.948163442781523E-5</v>
      </c>
      <c r="J1991" s="1" cm="1">
        <f t="array" ref="J1991">(SUMPRODUCT(("Var_Cap"=[1]OUT_TransportEnergyCons!$B$4:$B$10000)*1,ISNUMBER(SEARCH("T_b_c*ICE*DSL*s4",[1]OUT_TransportEnergyCons!$A$4:$A$10000))*1,[1]OUT_TransportEnergyCons!H$4:H$10000))*1000</f>
        <v>-1.3835491352886801E-5</v>
      </c>
      <c r="K1991" s="1" cm="1">
        <f t="array" ref="K1991">(SUMPRODUCT(("Var_Cap"=[1]OUT_TransportEnergyCons!$B$4:$B$10000)*1,ISNUMBER(SEARCH("T_b_c*ICE*DSL*s4",[1]OUT_TransportEnergyCons!$A$4:$A$10000))*1,[1]OUT_TransportEnergyCons!I$4:I$10000))*1000</f>
        <v>0</v>
      </c>
    </row>
    <row r="1992" spans="2:11" x14ac:dyDescent="0.35">
      <c r="B1992" s="5" t="str">
        <f t="shared" si="1249"/>
        <v>SPS3</v>
      </c>
      <c r="C1992" s="5" t="str">
        <f t="shared" si="1255"/>
        <v>CH</v>
      </c>
      <c r="D1992" t="s">
        <v>2027</v>
      </c>
      <c r="E1992" t="s">
        <v>2000</v>
      </c>
      <c r="F1992" s="1" cm="1">
        <f t="array" ref="F1992">(SUMPRODUCT(("Var_Cap"=[1]OUT_TransportEnergyCons!$B$4:$B$10000)*1,ISNUMBER(SEARCH("T_b_c*ICE*nga*ext",[1]OUT_TransportEnergyCons!$A$4:$A$10000))*1,[1]OUT_TransportEnergyCons!D$4:D$10000))*1000</f>
        <v>2.97227926078029E-2</v>
      </c>
      <c r="G1992" s="1" cm="1">
        <f t="array" ref="G1992">(SUMPRODUCT(("Var_Cap"=[1]OUT_TransportEnergyCons!$B$4:$B$10000)*1,ISNUMBER(SEARCH("T_b_c*ICE*nga*ext",[1]OUT_TransportEnergyCons!$A$4:$A$10000))*1,[1]OUT_TransportEnergyCons!E$4:E$10000))*1000</f>
        <v>2.37782340862423E-2</v>
      </c>
      <c r="H1992" s="1" cm="1">
        <f t="array" ref="H1992">(SUMPRODUCT(("Var_Cap"=[1]OUT_TransportEnergyCons!$B$4:$B$10000)*1,ISNUMBER(SEARCH("T_b_c*ICE*nga*ext",[1]OUT_TransportEnergyCons!$A$4:$A$10000))*1,[1]OUT_TransportEnergyCons!F$4:F$10000))*1000</f>
        <v>1.4845199628672982E-2</v>
      </c>
      <c r="I1992" s="1" cm="1">
        <f t="array" ref="I1992">(SUMPRODUCT(("Var_Cap"=[1]OUT_TransportEnergyCons!$B$4:$B$10000)*1,ISNUMBER(SEARCH("T_b_c*ICE*nga*ext",[1]OUT_TransportEnergyCons!$A$4:$A$10000))*1,[1]OUT_TransportEnergyCons!G$4:G$10000))*1000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(SUMPRODUCT(("Var_Cap"=[1]OUT_TransportEnergyCons!$B$4:$B$10000)*1,ISNUMBER(SEARCH("T_b_c*ICE*nga*ext",[1]OUT_TransportEnergyCons!$A$4:$A$10000))*1,[1]OUT_TransportEnergyCons!H$4:H$10000))*1000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(SUMPRODUCT(("Var_Cap"=[1]OUT_TransportEnergyCons!$B$4:$B$10000)*1,ISNUMBER(SEARCH("T_b_c*ICE*nga*ext",[1]OUT_TransportEnergyCons!$A$4:$A$10000))*1,[1]OUT_TransportEnergyCons!I$4:I$10000))*1000</f>
        <v>0</v>
      </c>
    </row>
    <row r="1993" spans="2:11" x14ac:dyDescent="0.35">
      <c r="B1993" s="5" t="str">
        <f t="shared" si="1249"/>
        <v>SPS3</v>
      </c>
      <c r="C1993" s="5" t="str">
        <f t="shared" si="1255"/>
        <v>CH</v>
      </c>
      <c r="D1993" t="s">
        <v>2028</v>
      </c>
      <c r="E1993" t="s">
        <v>2000</v>
      </c>
      <c r="F1993" s="1" cm="1">
        <f t="array" ref="F1993">(SUMPRODUCT(("Var_Cap"=[1]OUT_TransportEnergyCons!$B$4:$B$10000)*1,ISNUMBER(SEARCH("T_b_c*ICE*nga*s1",[1]OUT_TransportEnergyCons!$A$4:$A$10000))*1,[1]OUT_TransportEnergyCons!D$4:D$10000))*1000</f>
        <v>0</v>
      </c>
      <c r="G1993" s="1" cm="1">
        <f t="array" ref="G1993">(SUMPRODUCT(("Var_Cap"=[1]OUT_TransportEnergyCons!$B$4:$B$10000)*1,ISNUMBER(SEARCH("T_b_c*ICE*nga*s1",[1]OUT_TransportEnergyCons!$A$4:$A$10000))*1,[1]OUT_TransportEnergyCons!E$4:E$10000))*1000</f>
        <v>2.7927260967300897E-4</v>
      </c>
      <c r="H1993" s="1" cm="1">
        <f t="array" ref="H1993">(SUMPRODUCT(("Var_Cap"=[1]OUT_TransportEnergyCons!$B$4:$B$10000)*1,ISNUMBER(SEARCH("T_b_c*ICE*nga*s1",[1]OUT_TransportEnergyCons!$A$4:$A$10000))*1,[1]OUT_TransportEnergyCons!F$4:F$10000))*1000</f>
        <v>2.2379934325908201E-3</v>
      </c>
      <c r="I1993" s="1" cm="1">
        <f t="array" ref="I1993">(SUMPRODUCT(("Var_Cap"=[1]OUT_TransportEnergyCons!$B$4:$B$10000)*1,ISNUMBER(SEARCH("T_b_c*ICE*nga*s1",[1]OUT_TransportEnergyCons!$A$4:$A$10000))*1,[1]OUT_TransportEnergyCons!G$4:G$10000))*1000</f>
        <v>2.3181529160369874E-5</v>
      </c>
      <c r="J1993" s="1" cm="1">
        <f t="array" ref="J1993">(SUMPRODUCT(("Var_Cap"=[1]OUT_TransportEnergyCons!$B$4:$B$10000)*1,ISNUMBER(SEARCH("T_b_c*ICE*nga*s1",[1]OUT_TransportEnergyCons!$A$4:$A$10000))*1,[1]OUT_TransportEnergyCons!H$4:H$10000))*1000</f>
        <v>5.9077780719172305E-5</v>
      </c>
      <c r="K1993" s="1" cm="1">
        <f t="array" ref="K1993">(SUMPRODUCT(("Var_Cap"=[1]OUT_TransportEnergyCons!$B$4:$B$10000)*1,ISNUMBER(SEARCH("T_b_c*ICE*nga*s1",[1]OUT_TransportEnergyCons!$A$4:$A$10000))*1,[1]OUT_TransportEnergyCons!I$4:I$10000))*1000</f>
        <v>6.0545609673462198E-5</v>
      </c>
    </row>
    <row r="1994" spans="2:11" x14ac:dyDescent="0.35">
      <c r="B1994" s="5" t="str">
        <f t="shared" si="1249"/>
        <v>SPS3</v>
      </c>
      <c r="C1994" s="5" t="str">
        <f t="shared" si="1255"/>
        <v>CH</v>
      </c>
      <c r="D1994" t="s">
        <v>2029</v>
      </c>
      <c r="E1994" t="s">
        <v>2000</v>
      </c>
      <c r="F1994" s="1" cm="1">
        <f t="array" ref="F1994">(SUMPRODUCT(("Var_Cap"=[1]OUT_TransportEnergyCons!$B$4:$B$10000)*1,ISNUMBER(SEARCH("T_b_c*ICE*nga*s2",[1]OUT_TransportEnergyCons!$A$4:$A$10000))*1,[1]OUT_TransportEnergyCons!D$4:D$10000))*1000</f>
        <v>0</v>
      </c>
      <c r="G1994" s="1" cm="1">
        <f t="array" ref="G1994">(SUMPRODUCT(("Var_Cap"=[1]OUT_TransportEnergyCons!$B$4:$B$10000)*1,ISNUMBER(SEARCH("T_b_c*ICE*nga*s2",[1]OUT_TransportEnergyCons!$A$4:$A$10000))*1,[1]OUT_TransportEnergyCons!E$4:E$10000))*1000</f>
        <v>1.3781659023086301E-4</v>
      </c>
      <c r="H1994" s="1" cm="1">
        <f t="array" ref="H1994">(SUMPRODUCT(("Var_Cap"=[1]OUT_TransportEnergyCons!$B$4:$B$10000)*1,ISNUMBER(SEARCH("T_b_c*ICE*nga*s2",[1]OUT_TransportEnergyCons!$A$4:$A$10000))*1,[1]OUT_TransportEnergyCons!F$4:F$10000))*1000</f>
        <v>1.7216275748443101E-3</v>
      </c>
      <c r="I1994" s="1" cm="1">
        <f t="array" ref="I1994">(SUMPRODUCT(("Var_Cap"=[1]OUT_TransportEnergyCons!$B$4:$B$10000)*1,ISNUMBER(SEARCH("T_b_c*ICE*nga*s2",[1]OUT_TransportEnergyCons!$A$4:$A$10000))*1,[1]OUT_TransportEnergyCons!G$4:G$10000))*1000</f>
        <v>2.0482213966599922E-5</v>
      </c>
      <c r="J1994" s="1" cm="1">
        <f t="array" ref="J1994">(SUMPRODUCT(("Var_Cap"=[1]OUT_TransportEnergyCons!$B$4:$B$10000)*1,ISNUMBER(SEARCH("T_b_c*ICE*nga*s2",[1]OUT_TransportEnergyCons!$A$4:$A$10000))*1,[1]OUT_TransportEnergyCons!H$4:H$10000))*1000</f>
        <v>1.8507239713512001E-5</v>
      </c>
      <c r="K1994" s="1" cm="1">
        <f t="array" ref="K1994">(SUMPRODUCT(("Var_Cap"=[1]OUT_TransportEnergyCons!$B$4:$B$10000)*1,ISNUMBER(SEARCH("T_b_c*ICE*nga*s2",[1]OUT_TransportEnergyCons!$A$4:$A$10000))*1,[1]OUT_TransportEnergyCons!I$4:I$10000))*1000</f>
        <v>3.05623477876108E-5</v>
      </c>
    </row>
    <row r="1995" spans="2:11" x14ac:dyDescent="0.35">
      <c r="B1995" s="5" t="str">
        <f t="shared" si="1249"/>
        <v>SPS3</v>
      </c>
      <c r="C1995" s="5" t="str">
        <f t="shared" si="1255"/>
        <v>CH</v>
      </c>
      <c r="D1995" t="s">
        <v>2030</v>
      </c>
      <c r="E1995" t="s">
        <v>2000</v>
      </c>
      <c r="F1995" s="1" cm="1">
        <f t="array" ref="F1995">(SUMPRODUCT(("Var_Cap"=[1]OUT_TransportEnergyCons!$B$4:$B$10000)*1,ISNUMBER(SEARCH("T_b_c*ICE*nga*s3",[1]OUT_TransportEnergyCons!$A$4:$A$10000))*1,[1]OUT_TransportEnergyCons!D$4:D$10000))*1000</f>
        <v>0</v>
      </c>
      <c r="G1995" s="1" cm="1">
        <f t="array" ref="G1995">(SUMPRODUCT(("Var_Cap"=[1]OUT_TransportEnergyCons!$B$4:$B$10000)*1,ISNUMBER(SEARCH("T_b_c*ICE*nga*s3",[1]OUT_TransportEnergyCons!$A$4:$A$10000))*1,[1]OUT_TransportEnergyCons!E$4:E$10000))*1000</f>
        <v>9.321656797682319E-5</v>
      </c>
      <c r="H1995" s="1" cm="1">
        <f t="array" ref="H1995">(SUMPRODUCT(("Var_Cap"=[1]OUT_TransportEnergyCons!$B$4:$B$10000)*1,ISNUMBER(SEARCH("T_b_c*ICE*nga*s3",[1]OUT_TransportEnergyCons!$A$4:$A$10000))*1,[1]OUT_TransportEnergyCons!F$4:F$10000))*1000</f>
        <v>6.8775857676941902E-4</v>
      </c>
      <c r="I1995" s="1" cm="1">
        <f t="array" ref="I1995">(SUMPRODUCT(("Var_Cap"=[1]OUT_TransportEnergyCons!$B$4:$B$10000)*1,ISNUMBER(SEARCH("T_b_c*ICE*nga*s3",[1]OUT_TransportEnergyCons!$A$4:$A$10000))*1,[1]OUT_TransportEnergyCons!G$4:G$10000))*1000</f>
        <v>4.6337178175380985E-5</v>
      </c>
      <c r="J1995" s="1" cm="1">
        <f t="array" ref="J1995">(SUMPRODUCT(("Var_Cap"=[1]OUT_TransportEnergyCons!$B$4:$B$10000)*1,ISNUMBER(SEARCH("T_b_c*ICE*nga*s3",[1]OUT_TransportEnergyCons!$A$4:$A$10000))*1,[1]OUT_TransportEnergyCons!H$4:H$10000))*1000</f>
        <v>6.0254820288213205E-5</v>
      </c>
      <c r="K1995" s="1" cm="1">
        <f t="array" ref="K1995">(SUMPRODUCT(("Var_Cap"=[1]OUT_TransportEnergyCons!$B$4:$B$10000)*1,ISNUMBER(SEARCH("T_b_c*ICE*nga*s3",[1]OUT_TransportEnergyCons!$A$4:$A$10000))*1,[1]OUT_TransportEnergyCons!I$4:I$10000))*1000</f>
        <v>3.2599156650239503E-5</v>
      </c>
    </row>
    <row r="1996" spans="2:11" x14ac:dyDescent="0.35">
      <c r="B1996" s="5" t="str">
        <f t="shared" si="1249"/>
        <v>SPS3</v>
      </c>
      <c r="C1996" s="5" t="str">
        <f t="shared" si="1255"/>
        <v>CH</v>
      </c>
      <c r="D1996" t="s">
        <v>2031</v>
      </c>
      <c r="E1996" t="s">
        <v>2000</v>
      </c>
      <c r="F1996" s="1" cm="1">
        <f t="array" ref="F1996">(SUMPRODUCT(("Var_Cap"=[1]OUT_TransportEnergyCons!$B$4:$B$10000)*1,ISNUMBER(SEARCH("T_b_c*ICE*nga*s4",[1]OUT_TransportEnergyCons!$A$4:$A$10000))*1,[1]OUT_TransportEnergyCons!D$4:D$10000))*1000</f>
        <v>0</v>
      </c>
      <c r="G1996" s="1" cm="1">
        <f t="array" ref="G1996">(SUMPRODUCT(("Var_Cap"=[1]OUT_TransportEnergyCons!$B$4:$B$10000)*1,ISNUMBER(SEARCH("T_b_c*ICE*nga*s4",[1]OUT_TransportEnergyCons!$A$4:$A$10000))*1,[1]OUT_TransportEnergyCons!E$4:E$10000))*1000</f>
        <v>2.0750741468734399E-5</v>
      </c>
      <c r="H1996" s="1" cm="1">
        <f t="array" ref="H1996">(SUMPRODUCT(("Var_Cap"=[1]OUT_TransportEnergyCons!$B$4:$B$10000)*1,ISNUMBER(SEARCH("T_b_c*ICE*nga*s4",[1]OUT_TransportEnergyCons!$A$4:$A$10000))*1,[1]OUT_TransportEnergyCons!F$4:F$10000))*1000</f>
        <v>8.7501955478767301E-5</v>
      </c>
      <c r="I1996" s="1" cm="1">
        <f t="array" ref="I1996">(SUMPRODUCT(("Var_Cap"=[1]OUT_TransportEnergyCons!$B$4:$B$10000)*1,ISNUMBER(SEARCH("T_b_c*ICE*nga*s4",[1]OUT_TransportEnergyCons!$A$4:$A$10000))*1,[1]OUT_TransportEnergyCons!G$4:G$10000))*1000</f>
        <v>9.8531150290771011E-6</v>
      </c>
      <c r="J1996" s="1" cm="1">
        <f t="array" ref="J1996">(SUMPRODUCT(("Var_Cap"=[1]OUT_TransportEnergyCons!$B$4:$B$10000)*1,ISNUMBER(SEARCH("T_b_c*ICE*nga*s4",[1]OUT_TransportEnergyCons!$A$4:$A$10000))*1,[1]OUT_TransportEnergyCons!H$4:H$10000))*1000</f>
        <v>-3.2658540500520702E-5</v>
      </c>
      <c r="K1996" s="1" cm="1">
        <f t="array" ref="K1996">(SUMPRODUCT(("Var_Cap"=[1]OUT_TransportEnergyCons!$B$4:$B$10000)*1,ISNUMBER(SEARCH("T_b_c*ICE*nga*s4",[1]OUT_TransportEnergyCons!$A$4:$A$10000))*1,[1]OUT_TransportEnergyCons!I$4:I$10000))*1000</f>
        <v>0</v>
      </c>
    </row>
    <row r="1997" spans="2:11" x14ac:dyDescent="0.35">
      <c r="B1997" s="5" t="str">
        <f t="shared" si="1249"/>
        <v>SPS3</v>
      </c>
      <c r="C1997" s="5" t="str">
        <f>C1996</f>
        <v>CH</v>
      </c>
      <c r="D1997" s="2" t="s">
        <v>2122</v>
      </c>
      <c r="E1997" s="2" t="s">
        <v>2000</v>
      </c>
      <c r="F1997" s="3">
        <f>SUM(F1998:F2006)</f>
        <v>399.48265735669872</v>
      </c>
      <c r="G1997" s="3">
        <f t="shared" ref="G1997:K1997" si="1256">SUM(G1998:G2006)</f>
        <v>399.40149398801054</v>
      </c>
      <c r="H1997" s="3">
        <f t="shared" si="1256"/>
        <v>406.44416085157951</v>
      </c>
      <c r="I1997" s="3">
        <f t="shared" si="1256"/>
        <v>418.1822539980738</v>
      </c>
      <c r="J1997" s="3">
        <f t="shared" si="1256"/>
        <v>466.07592664508235</v>
      </c>
      <c r="K1997" s="3">
        <f t="shared" si="1256"/>
        <v>503.49953045017367</v>
      </c>
    </row>
    <row r="1998" spans="2:11" x14ac:dyDescent="0.35">
      <c r="B1998" s="5" t="str">
        <f t="shared" si="1249"/>
        <v>SPS3</v>
      </c>
      <c r="C1998" s="5" t="str">
        <f t="shared" ref="C1998:C2006" si="1257">C1997</f>
        <v>CH</v>
      </c>
      <c r="D1998" t="s">
        <v>2123</v>
      </c>
      <c r="E1998" t="s">
        <v>2000</v>
      </c>
      <c r="F1998" s="1" cm="1">
        <f t="array" ref="F1998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1998" s="1" cm="1">
        <f t="array" ref="G1998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1998" s="1" cm="1">
        <f t="array" ref="H1998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1998" s="1" cm="1">
        <f t="array" ref="I1998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1998" s="1" cm="1">
        <f t="array" ref="J1998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1998" s="1" cm="1">
        <f t="array" ref="K1998">(SUMPRODUCT(("Var_Cap"=[1]OUT_TransportEnergyCons!$B$4:$B$10000)*1,("-"=[1]OUT_TransportEnergyCons!$C$4:$C$10000)*1,ISNUMBER(SEARCH("tfl*bev*ext",[1]OUT_TransportEnergyCons!$A$4:$A$10000))*1,[1]OUT_TransportEnergyCons!I$4:I$10000))*1000</f>
        <v>0</v>
      </c>
    </row>
    <row r="1999" spans="2:11" x14ac:dyDescent="0.35">
      <c r="B1999" s="5" t="str">
        <f t="shared" si="1249"/>
        <v>SPS3</v>
      </c>
      <c r="C1999" s="5" t="str">
        <f t="shared" si="1257"/>
        <v>CH</v>
      </c>
      <c r="D1999" t="s">
        <v>2124</v>
      </c>
      <c r="E1999" t="s">
        <v>2000</v>
      </c>
      <c r="F1999" s="1" cm="1">
        <f t="array" ref="F1999">(SUMPRODUCT(("Var_Cap"=[1]OUT_TransportEnergyCons!$B$4:$B$10000)*1,("-"=[1]OUT_TransportEnergyCons!$C$4:$C$10000)*1,ISNUMBER(SEARCH("tfl*bev*",[1]OUT_TransportEnergyCons!$A$4:$A$10000))*1,[1]OUT_TransportEnergyCons!D$4:D$10000))*1000-F1998</f>
        <v>1.6985948825918544</v>
      </c>
      <c r="G1999" s="1" cm="1">
        <f t="array" ref="G1999">(SUMPRODUCT(("Var_Cap"=[1]OUT_TransportEnergyCons!$B$4:$B$10000)*1,("-"=[1]OUT_TransportEnergyCons!$C$4:$C$10000)*1,ISNUMBER(SEARCH("tfl*bev*",[1]OUT_TransportEnergyCons!$A$4:$A$10000))*1,[1]OUT_TransportEnergyCons!E$4:E$10000))*1000-G1998</f>
        <v>3.8298948414616829</v>
      </c>
      <c r="H1999" s="1" cm="1">
        <f t="array" ref="H1999">(SUMPRODUCT(("Var_Cap"=[1]OUT_TransportEnergyCons!$B$4:$B$10000)*1,("-"=[1]OUT_TransportEnergyCons!$C$4:$C$10000)*1,ISNUMBER(SEARCH("tfl*bev*",[1]OUT_TransportEnergyCons!$A$4:$A$10000))*1,[1]OUT_TransportEnergyCons!F$4:F$10000))*1000-H1998</f>
        <v>5.8495690863002885</v>
      </c>
      <c r="I1999" s="1" cm="1">
        <f t="array" ref="I1999">(SUMPRODUCT(("Var_Cap"=[1]OUT_TransportEnergyCons!$B$4:$B$10000)*1,("-"=[1]OUT_TransportEnergyCons!$C$4:$C$10000)*1,ISNUMBER(SEARCH("tfl*bev*",[1]OUT_TransportEnergyCons!$A$4:$A$10000))*1,[1]OUT_TransportEnergyCons!G$4:G$10000))*1000-I1998</f>
        <v>80.379714460725765</v>
      </c>
      <c r="J1999" s="1" cm="1">
        <f t="array" ref="J1999">(SUMPRODUCT(("Var_Cap"=[1]OUT_TransportEnergyCons!$B$4:$B$10000)*1,("-"=[1]OUT_TransportEnergyCons!$C$4:$C$10000)*1,ISNUMBER(SEARCH("tfl*bev*",[1]OUT_TransportEnergyCons!$A$4:$A$10000))*1,[1]OUT_TransportEnergyCons!H$4:H$10000))*1000-J1998</f>
        <v>425.7021480113317</v>
      </c>
      <c r="K1999" s="1" cm="1">
        <f t="array" ref="K1999">(SUMPRODUCT(("Var_Cap"=[1]OUT_TransportEnergyCons!$B$4:$B$10000)*1,("-"=[1]OUT_TransportEnergyCons!$C$4:$C$10000)*1,ISNUMBER(SEARCH("tfl*bev*",[1]OUT_TransportEnergyCons!$A$4:$A$10000))*1,[1]OUT_TransportEnergyCons!I$4:I$10000))*1000-K1998</f>
        <v>503.48490717674753</v>
      </c>
    </row>
    <row r="2000" spans="2:11" x14ac:dyDescent="0.35">
      <c r="B2000" s="5" t="str">
        <f t="shared" si="1249"/>
        <v>SPS3</v>
      </c>
      <c r="C2000" s="5" t="str">
        <f t="shared" si="1257"/>
        <v>CH</v>
      </c>
      <c r="D2000" t="s">
        <v>2125</v>
      </c>
      <c r="E2000" t="s">
        <v>2000</v>
      </c>
      <c r="F2000" s="1" cm="1">
        <f t="array" ref="F2000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0" s="1" cm="1">
        <f t="array" ref="G2000">(SUMPRODUCT(("Var_Cap"=[1]OUT_TransportEnergyCons!$B$4:$B$10000)*1,("-"=[1]OUT_TransportEnergyCons!$C$4:$C$10000)*1,ISNUMBER(SEARCH("tfl*h2o*",[1]OUT_TransportEnergyCons!$A$4:$A$10000))*1,[1]OUT_TransportEnergyCons!E$4:E$10000))*1000</f>
        <v>6.2398013710660604E-3</v>
      </c>
      <c r="H2000" s="1" cm="1">
        <f t="array" ref="H2000">(SUMPRODUCT(("Var_Cap"=[1]OUT_TransportEnergyCons!$B$4:$B$10000)*1,("-"=[1]OUT_TransportEnergyCons!$C$4:$C$10000)*1,ISNUMBER(SEARCH("tfl*h2o*",[1]OUT_TransportEnergyCons!$A$4:$A$10000))*1,[1]OUT_TransportEnergyCons!F$4:F$10000))*1000</f>
        <v>8.4047027996338331E-3</v>
      </c>
      <c r="I2000" s="1" cm="1">
        <f t="array" ref="I2000">(SUMPRODUCT(("Var_Cap"=[1]OUT_TransportEnergyCons!$B$4:$B$10000)*1,("-"=[1]OUT_TransportEnergyCons!$C$4:$C$10000)*1,ISNUMBER(SEARCH("tfl*h2o*",[1]OUT_TransportEnergyCons!$A$4:$A$10000))*1,[1]OUT_TransportEnergyCons!G$4:G$10000))*1000</f>
        <v>2.2252932923227005E-3</v>
      </c>
      <c r="J2000" s="1" cm="1">
        <f t="array" ref="J2000">(SUMPRODUCT(("Var_Cap"=[1]OUT_TransportEnergyCons!$B$4:$B$10000)*1,("-"=[1]OUT_TransportEnergyCons!$C$4:$C$10000)*1,ISNUMBER(SEARCH("tfl*h2o*",[1]OUT_TransportEnergyCons!$A$4:$A$10000))*1,[1]OUT_TransportEnergyCons!H$4:H$10000))*1000</f>
        <v>2.0965609602836212E-3</v>
      </c>
      <c r="K2000" s="1" cm="1">
        <f t="array" ref="K2000">(SUMPRODUCT(("Var_Cap"=[1]OUT_TransportEnergyCons!$B$4:$B$10000)*1,("-"=[1]OUT_TransportEnergyCons!$C$4:$C$10000)*1,ISNUMBER(SEARCH("tfl*h2o*",[1]OUT_TransportEnergyCons!$A$4:$A$10000))*1,[1]OUT_TransportEnergyCons!I$4:I$10000))*1000</f>
        <v>2.11802098128547E-3</v>
      </c>
    </row>
    <row r="2001" spans="2:11" x14ac:dyDescent="0.35">
      <c r="B2001" s="5" t="str">
        <f t="shared" si="1249"/>
        <v>SPS3</v>
      </c>
      <c r="C2001" s="5" t="str">
        <f t="shared" si="1257"/>
        <v>CH</v>
      </c>
      <c r="D2001" t="s">
        <v>2126</v>
      </c>
      <c r="E2001" t="s">
        <v>2000</v>
      </c>
      <c r="F2001" s="1" cm="1">
        <f t="array" ref="F2001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1" s="1" cm="1">
        <f t="array" ref="G2001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1" s="1" cm="1">
        <f t="array" ref="H2001">(SUMPRODUCT(("Var_Cap"=[1]OUT_TransportEnergyCons!$B$4:$B$10000)*1,("-"=[1]OUT_TransportEnergyCons!$C$4:$C$10000)*1,ISNUMBER(SEARCH("TfL*ICE*GSL*ext",[1]OUT_TransportEnergyCons!$A$4:$A$10000))*1,[1]OUT_TransportEnergyCons!F$4:F$10000))*1000</f>
        <v>30.634275280451639</v>
      </c>
      <c r="I2001" s="1" cm="1">
        <f t="array" ref="I2001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1" s="1" cm="1">
        <f t="array" ref="J2001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1" s="1" cm="1">
        <f t="array" ref="K2001">(SUMPRODUCT(("Var_Cap"=[1]OUT_TransportEnergyCons!$B$4:$B$10000)*1,("-"=[1]OUT_TransportEnergyCons!$C$4:$C$10000)*1,ISNUMBER(SEARCH("TfL*ICE*GSL*ext",[1]OUT_TransportEnergyCons!$A$4:$A$10000))*1,[1]OUT_TransportEnergyCons!I$4:I$10000))*1000</f>
        <v>0</v>
      </c>
    </row>
    <row r="2002" spans="2:11" x14ac:dyDescent="0.35">
      <c r="B2002" s="5" t="str">
        <f t="shared" si="1249"/>
        <v>SPS3</v>
      </c>
      <c r="C2002" s="5" t="str">
        <f t="shared" si="1257"/>
        <v>CH</v>
      </c>
      <c r="D2002" t="s">
        <v>2127</v>
      </c>
      <c r="E2002" t="s">
        <v>2000</v>
      </c>
      <c r="F2002" s="1" cm="1">
        <f t="array" ref="F2002">(SUMPRODUCT(("Var_Cap"=[1]OUT_TransportEnergyCons!$B$4:$B$10000)*1,("-"=[1]OUT_TransportEnergyCons!$C$4:$C$10000)*1,ISNUMBER(SEARCH("TfL*ICE*GSL*",[1]OUT_TransportEnergyCons!$A$4:$A$10000))*1,[1]OUT_TransportEnergyCons!D$4:D$10000))*1000-F2001</f>
        <v>12.434623942845789</v>
      </c>
      <c r="G2002" s="1" cm="1">
        <f t="array" ref="G2002">(SUMPRODUCT(("Var_Cap"=[1]OUT_TransportEnergyCons!$B$4:$B$10000)*1,("-"=[1]OUT_TransportEnergyCons!$C$4:$C$10000)*1,ISNUMBER(SEARCH("TfL*ICE*GSL*",[1]OUT_TransportEnergyCons!$A$4:$A$10000))*1,[1]OUT_TransportEnergyCons!E$4:E$10000))*1000-G2001</f>
        <v>14.299828741273529</v>
      </c>
      <c r="H2002" s="1" cm="1">
        <f t="array" ref="H2002">(SUMPRODUCT(("Var_Cap"=[1]OUT_TransportEnergyCons!$B$4:$B$10000)*1,("-"=[1]OUT_TransportEnergyCons!$C$4:$C$10000)*1,ISNUMBER(SEARCH("TfL*ICE*GSL*",[1]OUT_TransportEnergyCons!$A$4:$A$10000))*1,[1]OUT_TransportEnergyCons!F$4:F$10000))*1000-H2001</f>
        <v>26.689658242444992</v>
      </c>
      <c r="I2002" s="1" cm="1">
        <f t="array" ref="I2002">(SUMPRODUCT(("Var_Cap"=[1]OUT_TransportEnergyCons!$B$4:$B$10000)*1,("-"=[1]OUT_TransportEnergyCons!$C$4:$C$10000)*1,ISNUMBER(SEARCH("TfL*ICE*GSL*",[1]OUT_TransportEnergyCons!$A$4:$A$10000))*1,[1]OUT_TransportEnergyCons!G$4:G$10000))*1000-I2001</f>
        <v>47.547206107050783</v>
      </c>
      <c r="J2002" s="1" cm="1">
        <f t="array" ref="J2002">(SUMPRODUCT(("Var_Cap"=[1]OUT_TransportEnergyCons!$B$4:$B$10000)*1,("-"=[1]OUT_TransportEnergyCons!$C$4:$C$10000)*1,ISNUMBER(SEARCH("TfL*ICE*GSL*",[1]OUT_TransportEnergyCons!$A$4:$A$10000))*1,[1]OUT_TransportEnergyCons!H$4:H$10000))*1000-J2001</f>
        <v>4.8658960350723284</v>
      </c>
      <c r="K2002" s="1" cm="1">
        <f t="array" ref="K2002">(SUMPRODUCT(("Var_Cap"=[1]OUT_TransportEnergyCons!$B$4:$B$10000)*1,("-"=[1]OUT_TransportEnergyCons!$C$4:$C$10000)*1,ISNUMBER(SEARCH("TfL*ICE*GSL*",[1]OUT_TransportEnergyCons!$A$4:$A$10000))*1,[1]OUT_TransportEnergyCons!I$4:I$10000))*1000-K2001</f>
        <v>1.8933083125649301E-3</v>
      </c>
    </row>
    <row r="2003" spans="2:11" x14ac:dyDescent="0.35">
      <c r="B2003" s="5" t="str">
        <f t="shared" si="1249"/>
        <v>SPS3</v>
      </c>
      <c r="C2003" s="5" t="str">
        <f t="shared" si="1257"/>
        <v>CH</v>
      </c>
      <c r="D2003" t="s">
        <v>2128</v>
      </c>
      <c r="E2003" t="s">
        <v>2000</v>
      </c>
      <c r="F2003" s="1" cm="1">
        <f t="array" ref="F2003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3" s="1" cm="1">
        <f t="array" ref="G2003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3" s="1" cm="1">
        <f t="array" ref="H2003">(SUMPRODUCT(("Var_Cap"=[1]OUT_TransportEnergyCons!$B$4:$B$10000)*1,("-"=[1]OUT_TransportEnergyCons!$C$4:$C$10000)*1,ISNUMBER(SEARCH("tfl*ICE*DSL*ext",[1]OUT_TransportEnergyCons!$A$4:$A$10000))*1,[1]OUT_TransportEnergyCons!F$4:F$10000))*1000</f>
        <v>152.66043692540018</v>
      </c>
      <c r="I2003" s="1" cm="1">
        <f t="array" ref="I2003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3" s="1" cm="1">
        <f t="array" ref="J2003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(SUMPRODUCT(("Var_Cap"=[1]OUT_TransportEnergyCons!$B$4:$B$10000)*1,("-"=[1]OUT_TransportEnergyCons!$C$4:$C$10000)*1,ISNUMBER(SEARCH("tfl*ICE*DSL*ext",[1]OUT_TransportEnergyCons!$A$4:$A$10000))*1,[1]OUT_TransportEnergyCons!I$4:I$10000))*1000</f>
        <v>0</v>
      </c>
    </row>
    <row r="2004" spans="2:11" x14ac:dyDescent="0.35">
      <c r="B2004" s="5" t="str">
        <f t="shared" si="1249"/>
        <v>SPS3</v>
      </c>
      <c r="C2004" s="5" t="str">
        <f t="shared" si="1257"/>
        <v>CH</v>
      </c>
      <c r="D2004" t="s">
        <v>2129</v>
      </c>
      <c r="E2004" t="s">
        <v>2000</v>
      </c>
      <c r="F2004" s="1" cm="1">
        <f t="array" ref="F2004">(SUMPRODUCT(("Var_Cap"=[1]OUT_TransportEnergyCons!$B$4:$B$10000)*1,("-"=[1]OUT_TransportEnergyCons!$C$4:$C$10000)*1,ISNUMBER(SEARCH("tfl*ICE*DSL*",[1]OUT_TransportEnergyCons!$A$4:$A$10000))*1,[1]OUT_TransportEnergyCons!D$4:D$10000))*1000-F2003</f>
        <v>106.16838565435495</v>
      </c>
      <c r="G2004" s="1" cm="1">
        <f t="array" ref="G2004">(SUMPRODUCT(("Var_Cap"=[1]OUT_TransportEnergyCons!$B$4:$B$10000)*1,("-"=[1]OUT_TransportEnergyCons!$C$4:$C$10000)*1,ISNUMBER(SEARCH("tfl*ICE*DSL*",[1]OUT_TransportEnergyCons!$A$4:$A$10000))*1,[1]OUT_TransportEnergyCons!E$4:E$10000))*1000-G2003</f>
        <v>125.19697389894787</v>
      </c>
      <c r="H2004" s="1" cm="1">
        <f t="array" ref="H2004">(SUMPRODUCT(("Var_Cap"=[1]OUT_TransportEnergyCons!$B$4:$B$10000)*1,("-"=[1]OUT_TransportEnergyCons!$C$4:$C$10000)*1,ISNUMBER(SEARCH("tfl*ICE*DSL*",[1]OUT_TransportEnergyCons!$A$4:$A$10000))*1,[1]OUT_TransportEnergyCons!F$4:F$10000))*1000-H2003</f>
        <v>126.00295986579573</v>
      </c>
      <c r="I2004" s="1" cm="1">
        <f t="array" ref="I2004">(SUMPRODUCT(("Var_Cap"=[1]OUT_TransportEnergyCons!$B$4:$B$10000)*1,("-"=[1]OUT_TransportEnergyCons!$C$4:$C$10000)*1,ISNUMBER(SEARCH("tfl*ICE*DSL*",[1]OUT_TransportEnergyCons!$A$4:$A$10000))*1,[1]OUT_TransportEnergyCons!G$4:G$10000))*1000-I2003</f>
        <v>71.767614581127887</v>
      </c>
      <c r="J2004" s="1" cm="1">
        <f t="array" ref="J2004">(SUMPRODUCT(("Var_Cap"=[1]OUT_TransportEnergyCons!$B$4:$B$10000)*1,("-"=[1]OUT_TransportEnergyCons!$C$4:$C$10000)*1,ISNUMBER(SEARCH("tfl*ICE*DSL*",[1]OUT_TransportEnergyCons!$A$4:$A$10000))*1,[1]OUT_TransportEnergyCons!H$4:H$10000))*1000-J2003</f>
        <v>3.5409813844372501E-2</v>
      </c>
      <c r="K2004" s="1" cm="1">
        <f t="array" ref="K2004">(SUMPRODUCT(("Var_Cap"=[1]OUT_TransportEnergyCons!$B$4:$B$10000)*1,("-"=[1]OUT_TransportEnergyCons!$C$4:$C$10000)*1,ISNUMBER(SEARCH("tfl*ICE*DSL*",[1]OUT_TransportEnergyCons!$A$4:$A$10000))*1,[1]OUT_TransportEnergyCons!I$4:I$10000))*1000-K2003</f>
        <v>1.6433821232825704E-3</v>
      </c>
    </row>
    <row r="2005" spans="2:11" x14ac:dyDescent="0.35">
      <c r="B2005" s="5" t="str">
        <f t="shared" si="1249"/>
        <v>SPS3</v>
      </c>
      <c r="C2005" s="5" t="str">
        <f t="shared" si="1257"/>
        <v>CH</v>
      </c>
      <c r="D2005" t="s">
        <v>2130</v>
      </c>
      <c r="E2005" t="s">
        <v>2000</v>
      </c>
      <c r="F2005" s="1" cm="1">
        <f t="array" ref="F2005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(SUMPRODUCT(("Var_Cap"=[1]OUT_TransportEnergyCons!$B$4:$B$10000)*1,("-"=[1]OUT_TransportEnergyCons!$C$4:$C$10000)*1,ISNUMBER(SEARCH("tfl*hyb*DSL*",[1]OUT_TransportEnergyCons!$A$4:$A$10000))*1,[1]OUT_TransportEnergyCons!E$4:E$10000))*1000</f>
        <v>14.2575907571791</v>
      </c>
      <c r="H2005" s="1" cm="1">
        <f t="array" ref="H2005">(SUMPRODUCT(("Var_Cap"=[1]OUT_TransportEnergyCons!$B$4:$B$10000)*1,("-"=[1]OUT_TransportEnergyCons!$C$4:$C$10000)*1,ISNUMBER(SEARCH("tfl*hyb*DSL*",[1]OUT_TransportEnergyCons!$A$4:$A$10000))*1,[1]OUT_TransportEnergyCons!F$4:F$10000))*1000</f>
        <v>61.876059453823054</v>
      </c>
      <c r="I2005" s="1" cm="1">
        <f t="array" ref="I2005">(SUMPRODUCT(("Var_Cap"=[1]OUT_TransportEnergyCons!$B$4:$B$10000)*1,("-"=[1]OUT_TransportEnergyCons!$C$4:$C$10000)*1,ISNUMBER(SEARCH("tfl*hyb*DSL*",[1]OUT_TransportEnergyCons!$A$4:$A$10000))*1,[1]OUT_TransportEnergyCons!G$4:G$10000))*1000</f>
        <v>126.16850781624805</v>
      </c>
      <c r="J2005" s="1" cm="1">
        <f t="array" ref="J2005">(SUMPRODUCT(("Var_Cap"=[1]OUT_TransportEnergyCons!$B$4:$B$10000)*1,("-"=[1]OUT_TransportEnergyCons!$C$4:$C$10000)*1,ISNUMBER(SEARCH("tfl*hyb*DSL*",[1]OUT_TransportEnergyCons!$A$4:$A$10000))*1,[1]OUT_TransportEnergyCons!H$4:H$10000))*1000</f>
        <v>35.455213648510451</v>
      </c>
      <c r="K2005" s="1" cm="1">
        <f t="array" ref="K2005">(SUMPRODUCT(("Var_Cap"=[1]OUT_TransportEnergyCons!$B$4:$B$10000)*1,("-"=[1]OUT_TransportEnergyCons!$C$4:$C$10000)*1,ISNUMBER(SEARCH("tfl*hyb*DSL*",[1]OUT_TransportEnergyCons!$A$4:$A$10000))*1,[1]OUT_TransportEnergyCons!I$4:I$10000))*1000</f>
        <v>5.45853648512961E-3</v>
      </c>
    </row>
    <row r="2006" spans="2:11" x14ac:dyDescent="0.35">
      <c r="B2006" s="5" t="str">
        <f t="shared" si="1249"/>
        <v>SPS3</v>
      </c>
      <c r="C2006" s="5" t="str">
        <f t="shared" si="1257"/>
        <v>CH</v>
      </c>
      <c r="D2006" t="s">
        <v>2131</v>
      </c>
      <c r="E2006" t="s">
        <v>2000</v>
      </c>
      <c r="F2006" s="1" cm="1">
        <f t="array" ref="F2006">(SUMPRODUCT(("Var_Cap"=[1]OUT_TransportEnergyCons!$B$4:$B$10000)*1,("-"=[1]OUT_TransportEnergyCons!$C$4:$C$10000)*1,ISNUMBER(SEARCH("tfl*ice*nga*",[1]OUT_TransportEnergyCons!$A$4:$A$10000))*1,[1]OUT_TransportEnergyCons!D$4:D$10000))*1000</f>
        <v>2.2860528769061492</v>
      </c>
      <c r="G2006" s="1" cm="1">
        <f t="array" ref="G2006">(SUMPRODUCT(("Var_Cap"=[1]OUT_TransportEnergyCons!$B$4:$B$10000)*1,("-"=[1]OUT_TransportEnergyCons!$C$4:$C$10000)*1,ISNUMBER(SEARCH("tfl*ice*nga*",[1]OUT_TransportEnergyCons!$A$4:$A$10000))*1,[1]OUT_TransportEnergyCons!E$4:E$10000))*1000</f>
        <v>1.8352992811105733</v>
      </c>
      <c r="H2006" s="1" cm="1">
        <f t="array" ref="H2006">(SUMPRODUCT(("Var_Cap"=[1]OUT_TransportEnergyCons!$B$4:$B$10000)*1,("-"=[1]OUT_TransportEnergyCons!$C$4:$C$10000)*1,ISNUMBER(SEARCH("tfl*ice*nga*",[1]OUT_TransportEnergyCons!$A$4:$A$10000))*1,[1]OUT_TransportEnergyCons!F$4:F$10000))*1000</f>
        <v>1.4227972945639868</v>
      </c>
      <c r="I2006" s="1" cm="1">
        <f t="array" ref="I2006">(SUMPRODUCT(("Var_Cap"=[1]OUT_TransportEnergyCons!$B$4:$B$10000)*1,("-"=[1]OUT_TransportEnergyCons!$C$4:$C$10000)*1,ISNUMBER(SEARCH("tfl*ice*nga*",[1]OUT_TransportEnergyCons!$A$4:$A$10000))*1,[1]OUT_TransportEnergyCons!G$4:G$10000))*1000</f>
        <v>1.8652406295685216E-2</v>
      </c>
      <c r="J2006" s="1" cm="1">
        <f t="array" ref="J2006">(SUMPRODUCT(("Var_Cap"=[1]OUT_TransportEnergyCons!$B$4:$B$10000)*1,("-"=[1]OUT_TransportEnergyCons!$C$4:$C$10000)*1,ISNUMBER(SEARCH("tfl*ice*nga*",[1]OUT_TransportEnergyCons!$A$4:$A$10000))*1,[1]OUT_TransportEnergyCons!H$4:H$10000))*1000</f>
        <v>1.5162575363217475E-2</v>
      </c>
      <c r="K2006" s="1" cm="1">
        <f t="array" ref="K2006">(SUMPRODUCT(("Var_Cap"=[1]OUT_TransportEnergyCons!$B$4:$B$10000)*1,("-"=[1]OUT_TransportEnergyCons!$C$4:$C$10000)*1,ISNUMBER(SEARCH("tfl*ice*nga*",[1]OUT_TransportEnergyCons!$A$4:$A$10000))*1,[1]OUT_TransportEnergyCons!I$4:I$10000))*1000</f>
        <v>3.5100255238567938E-3</v>
      </c>
    </row>
    <row r="2007" spans="2:11" x14ac:dyDescent="0.35">
      <c r="B2007" s="5" t="str">
        <f t="shared" si="1249"/>
        <v>SPS3</v>
      </c>
      <c r="C2007" s="5" t="str">
        <f>C2006</f>
        <v>CH</v>
      </c>
      <c r="D2007" s="2" t="s">
        <v>2134</v>
      </c>
      <c r="E2007" s="2" t="s">
        <v>2000</v>
      </c>
      <c r="F2007" s="3">
        <f>SUM(F2008:F2016)</f>
        <v>41.532227587308398</v>
      </c>
      <c r="G2007" s="3">
        <f t="shared" ref="G2007" si="1258">SUM(G2008:G2016)</f>
        <v>43.007378807561594</v>
      </c>
      <c r="H2007" s="3">
        <f t="shared" ref="H2007" si="1259">SUM(H2008:H2016)</f>
        <v>43.426799754104515</v>
      </c>
      <c r="I2007" s="3">
        <f t="shared" ref="I2007" si="1260">SUM(I2008:I2016)</f>
        <v>45.209104472191541</v>
      </c>
      <c r="J2007" s="3">
        <f t="shared" ref="J2007" si="1261">SUM(J2008:J2016)</f>
        <v>49.153723931716613</v>
      </c>
      <c r="K2007" s="3">
        <f t="shared" ref="K2007" si="1262">SUM(K2008:K2016)</f>
        <v>52.985198543528114</v>
      </c>
    </row>
    <row r="2008" spans="2:11" x14ac:dyDescent="0.35">
      <c r="B2008" s="5" t="str">
        <f t="shared" si="1249"/>
        <v>SPS3</v>
      </c>
      <c r="C2008" s="5" t="str">
        <f t="shared" ref="C2008:C2016" si="1263">C2007</f>
        <v>CH</v>
      </c>
      <c r="D2008" t="s">
        <v>2135</v>
      </c>
      <c r="E2008" t="s">
        <v>2000</v>
      </c>
      <c r="F2008" s="1" cm="1">
        <f t="array" ref="F2008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08" s="1" cm="1">
        <f t="array" ref="G2008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08" s="1" cm="1">
        <f t="array" ref="H2008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08" s="1" cm="1">
        <f t="array" ref="I2008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08" s="1" cm="1">
        <f t="array" ref="J2008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(SUMPRODUCT(("Var_Cap"=[1]OUT_TransportEnergyCons!$B$4:$B$10000)*1,("-"=[1]OUT_TransportEnergyCons!$C$4:$C$10000)*1,ISNUMBER(SEARCH("tfh*bev*ext",[1]OUT_TransportEnergyCons!$A$4:$A$10000))*1,[1]OUT_TransportEnergyCons!I$4:I$10000))*1000</f>
        <v>0</v>
      </c>
    </row>
    <row r="2009" spans="2:11" x14ac:dyDescent="0.35">
      <c r="B2009" s="5" t="str">
        <f t="shared" si="1249"/>
        <v>SPS3</v>
      </c>
      <c r="C2009" s="5" t="str">
        <f t="shared" si="1263"/>
        <v>CH</v>
      </c>
      <c r="D2009" t="s">
        <v>2136</v>
      </c>
      <c r="E2009" t="s">
        <v>2000</v>
      </c>
      <c r="F2009" s="1" cm="1">
        <f t="array" ref="F2009">(SUMPRODUCT(("Var_Cap"=[1]OUT_TransportEnergyCons!$B$4:$B$10000)*1,("-"=[1]OUT_TransportEnergyCons!$C$4:$C$10000)*1,ISNUMBER(SEARCH("tfh*bev*",[1]OUT_TransportEnergyCons!$A$4:$A$10000))*1,[1]OUT_TransportEnergyCons!D$4:D$10000))*1000-F2008</f>
        <v>3.3903242407386895E-2</v>
      </c>
      <c r="G2009" s="1" cm="1">
        <f t="array" ref="G2009">(SUMPRODUCT(("Var_Cap"=[1]OUT_TransportEnergyCons!$B$4:$B$10000)*1,("-"=[1]OUT_TransportEnergyCons!$C$4:$C$10000)*1,ISNUMBER(SEARCH("tfh*bev*",[1]OUT_TransportEnergyCons!$A$4:$A$10000))*1,[1]OUT_TransportEnergyCons!E$4:E$10000))*1000-G2008</f>
        <v>4.5726856862422165E-2</v>
      </c>
      <c r="H2009" s="1" cm="1">
        <f t="array" ref="H2009">(SUMPRODUCT(("Var_Cap"=[1]OUT_TransportEnergyCons!$B$4:$B$10000)*1,("-"=[1]OUT_TransportEnergyCons!$C$4:$C$10000)*1,ISNUMBER(SEARCH("tfh*bev*",[1]OUT_TransportEnergyCons!$A$4:$A$10000))*1,[1]OUT_TransportEnergyCons!F$4:F$10000))*1000-H2008</f>
        <v>5.1428211096093808E-2</v>
      </c>
      <c r="I2009" s="1" cm="1">
        <f t="array" ref="I2009">(SUMPRODUCT(("Var_Cap"=[1]OUT_TransportEnergyCons!$B$4:$B$10000)*1,("-"=[1]OUT_TransportEnergyCons!$C$4:$C$10000)*1,ISNUMBER(SEARCH("tfh*bev*",[1]OUT_TransportEnergyCons!$A$4:$A$10000))*1,[1]OUT_TransportEnergyCons!G$4:G$10000))*1000-I2008</f>
        <v>2.5381539974554099E-2</v>
      </c>
      <c r="J2009" s="1" cm="1">
        <f t="array" ref="J2009">(SUMPRODUCT(("Var_Cap"=[1]OUT_TransportEnergyCons!$B$4:$B$10000)*1,("-"=[1]OUT_TransportEnergyCons!$C$4:$C$10000)*1,ISNUMBER(SEARCH("tfh*bev*",[1]OUT_TransportEnergyCons!$A$4:$A$10000))*1,[1]OUT_TransportEnergyCons!H$4:H$10000))*1000-J2008</f>
        <v>37.477196275208222</v>
      </c>
      <c r="K2009" s="1" cm="1">
        <f t="array" ref="K2009">(SUMPRODUCT(("Var_Cap"=[1]OUT_TransportEnergyCons!$B$4:$B$10000)*1,("-"=[1]OUT_TransportEnergyCons!$C$4:$C$10000)*1,ISNUMBER(SEARCH("tfh*bev*",[1]OUT_TransportEnergyCons!$A$4:$A$10000))*1,[1]OUT_TransportEnergyCons!I$4:I$10000))*1000-K2008</f>
        <v>51.781617345079134</v>
      </c>
    </row>
    <row r="2010" spans="2:11" x14ac:dyDescent="0.35">
      <c r="B2010" s="5" t="str">
        <f t="shared" si="1249"/>
        <v>SPS3</v>
      </c>
      <c r="C2010" s="5" t="str">
        <f t="shared" si="1263"/>
        <v>CH</v>
      </c>
      <c r="D2010" t="s">
        <v>2137</v>
      </c>
      <c r="E2010" t="s">
        <v>2000</v>
      </c>
      <c r="F2010" s="1" cm="1">
        <f t="array" ref="F2010">(SUMPRODUCT(("Var_Cap"=[1]OUT_TransportEnergyCons!$B$4:$B$10000)*1,("-"=[1]OUT_TransportEnergyCons!$C$4:$C$10000)*1,ISNUMBER(SEARCH("tfh*h2o*",[1]OUT_TransportEnergyCons!$A$4:$A$10000))*1,[1]OUT_TransportEnergyCons!D$4:D$10000))*1000</f>
        <v>1.147757860920985E-2</v>
      </c>
      <c r="G2010" s="1" cm="1">
        <f t="array" ref="G2010">(SUMPRODUCT(("Var_Cap"=[1]OUT_TransportEnergyCons!$B$4:$B$10000)*1,("-"=[1]OUT_TransportEnergyCons!$C$4:$C$10000)*1,ISNUMBER(SEARCH("tfh*h2o*",[1]OUT_TransportEnergyCons!$A$4:$A$10000))*1,[1]OUT_TransportEnergyCons!E$4:E$10000))*1000</f>
        <v>6.7495127350867892E-3</v>
      </c>
      <c r="H2010" s="1" cm="1">
        <f t="array" ref="H2010">(SUMPRODUCT(("Var_Cap"=[1]OUT_TransportEnergyCons!$B$4:$B$10000)*1,("-"=[1]OUT_TransportEnergyCons!$C$4:$C$10000)*1,ISNUMBER(SEARCH("tfh*h2o*",[1]OUT_TransportEnergyCons!$A$4:$A$10000))*1,[1]OUT_TransportEnergyCons!F$4:F$10000))*1000</f>
        <v>6.9456998708221189E-3</v>
      </c>
      <c r="I2010" s="1" cm="1">
        <f t="array" ref="I2010">(SUMPRODUCT(("Var_Cap"=[1]OUT_TransportEnergyCons!$B$4:$B$10000)*1,("-"=[1]OUT_TransportEnergyCons!$C$4:$C$10000)*1,ISNUMBER(SEARCH("tfh*h2o*",[1]OUT_TransportEnergyCons!$A$4:$A$10000))*1,[1]OUT_TransportEnergyCons!G$4:G$10000))*1000</f>
        <v>-2.5579084271722406E-5</v>
      </c>
      <c r="J2010" s="1" cm="1">
        <f t="array" ref="J2010">(SUMPRODUCT(("Var_Cap"=[1]OUT_TransportEnergyCons!$B$4:$B$10000)*1,("-"=[1]OUT_TransportEnergyCons!$C$4:$C$10000)*1,ISNUMBER(SEARCH("tfh*h2o*",[1]OUT_TransportEnergyCons!$A$4:$A$10000))*1,[1]OUT_TransportEnergyCons!H$4:H$10000))*1000</f>
        <v>1.0088641998127E-3</v>
      </c>
      <c r="K2010" s="1" cm="1">
        <f t="array" ref="K2010">(SUMPRODUCT(("Var_Cap"=[1]OUT_TransportEnergyCons!$B$4:$B$10000)*1,("-"=[1]OUT_TransportEnergyCons!$C$4:$C$10000)*1,ISNUMBER(SEARCH("tfh*h2o*",[1]OUT_TransportEnergyCons!$A$4:$A$10000))*1,[1]OUT_TransportEnergyCons!I$4:I$10000))*1000</f>
        <v>2.0180730246074996E-3</v>
      </c>
    </row>
    <row r="2011" spans="2:11" x14ac:dyDescent="0.35">
      <c r="B2011" s="5" t="str">
        <f t="shared" si="1249"/>
        <v>SPS3</v>
      </c>
      <c r="C2011" s="5" t="str">
        <f t="shared" si="1263"/>
        <v>CH</v>
      </c>
      <c r="D2011" t="s">
        <v>2138</v>
      </c>
      <c r="E2011" t="s">
        <v>2000</v>
      </c>
      <c r="F2011" s="1" cm="1">
        <f t="array" ref="F2011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1" s="1" cm="1">
        <f t="array" ref="G2011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1" s="1" cm="1">
        <f t="array" ref="H2011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1" s="1" cm="1">
        <f t="array" ref="I2011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1" s="1" cm="1">
        <f t="array" ref="J2011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1" s="1" cm="1">
        <f t="array" ref="K2011">(SUMPRODUCT(("Var_Cap"=[1]OUT_TransportEnergyCons!$B$4:$B$10000)*1,("-"=[1]OUT_TransportEnergyCons!$C$4:$C$10000)*1,ISNUMBER(SEARCH("tfh*ICE*GSL*ext",[1]OUT_TransportEnergyCons!$A$4:$A$10000))*1,[1]OUT_TransportEnergyCons!I$4:I$10000))*1000</f>
        <v>0</v>
      </c>
    </row>
    <row r="2012" spans="2:11" x14ac:dyDescent="0.35">
      <c r="B2012" s="5" t="str">
        <f t="shared" si="1249"/>
        <v>SPS3</v>
      </c>
      <c r="C2012" s="5" t="str">
        <f t="shared" si="1263"/>
        <v>CH</v>
      </c>
      <c r="D2012" t="s">
        <v>2139</v>
      </c>
      <c r="E2012" t="s">
        <v>2000</v>
      </c>
      <c r="F2012" s="1" cm="1">
        <f t="array" ref="F2012">(SUMPRODUCT(("Var_Cap"=[1]OUT_TransportEnergyCons!$B$4:$B$10000)*1,("-"=[1]OUT_TransportEnergyCons!$C$4:$C$10000)*1,ISNUMBER(SEARCH("tfh*ICE*GSL*",[1]OUT_TransportEnergyCons!$A$4:$A$10000))*1,[1]OUT_TransportEnergyCons!D$4:D$10000))*1000-F2011</f>
        <v>0</v>
      </c>
      <c r="G2012" s="1" cm="1">
        <f t="array" ref="G2012">(SUMPRODUCT(("Var_Cap"=[1]OUT_TransportEnergyCons!$B$4:$B$10000)*1,("-"=[1]OUT_TransportEnergyCons!$C$4:$C$10000)*1,ISNUMBER(SEARCH("tfh*ICE*GSL*",[1]OUT_TransportEnergyCons!$A$4:$A$10000))*1,[1]OUT_TransportEnergyCons!E$4:E$10000))*1000-G2011</f>
        <v>0</v>
      </c>
      <c r="H2012" s="1" cm="1">
        <f t="array" ref="H2012">(SUMPRODUCT(("Var_Cap"=[1]OUT_TransportEnergyCons!$B$4:$B$10000)*1,("-"=[1]OUT_TransportEnergyCons!$C$4:$C$10000)*1,ISNUMBER(SEARCH("tfh*ICE*GSL*",[1]OUT_TransportEnergyCons!$A$4:$A$10000))*1,[1]OUT_TransportEnergyCons!F$4:F$10000))*1000-H2011</f>
        <v>0</v>
      </c>
      <c r="I2012" s="1" cm="1">
        <f t="array" ref="I2012">(SUMPRODUCT(("Var_Cap"=[1]OUT_TransportEnergyCons!$B$4:$B$10000)*1,("-"=[1]OUT_TransportEnergyCons!$C$4:$C$10000)*1,ISNUMBER(SEARCH("tfh*ICE*GSL*",[1]OUT_TransportEnergyCons!$A$4:$A$10000))*1,[1]OUT_TransportEnergyCons!G$4:G$10000))*1000-I2011</f>
        <v>0</v>
      </c>
      <c r="J2012" s="1" cm="1">
        <f t="array" ref="J2012">(SUMPRODUCT(("Var_Cap"=[1]OUT_TransportEnergyCons!$B$4:$B$10000)*1,("-"=[1]OUT_TransportEnergyCons!$C$4:$C$10000)*1,ISNUMBER(SEARCH("tfh*ICE*GSL*",[1]OUT_TransportEnergyCons!$A$4:$A$10000))*1,[1]OUT_TransportEnergyCons!H$4:H$10000))*1000-J2011</f>
        <v>0</v>
      </c>
      <c r="K2012" s="1" cm="1">
        <f t="array" ref="K2012">(SUMPRODUCT(("Var_Cap"=[1]OUT_TransportEnergyCons!$B$4:$B$10000)*1,("-"=[1]OUT_TransportEnergyCons!$C$4:$C$10000)*1,ISNUMBER(SEARCH("tfh*ICE*GSL*",[1]OUT_TransportEnergyCons!$A$4:$A$10000))*1,[1]OUT_TransportEnergyCons!I$4:I$10000))*1000-K2011</f>
        <v>0</v>
      </c>
    </row>
    <row r="2013" spans="2:11" x14ac:dyDescent="0.35">
      <c r="B2013" s="5" t="str">
        <f t="shared" si="1249"/>
        <v>SPS3</v>
      </c>
      <c r="C2013" s="5" t="str">
        <f t="shared" si="1263"/>
        <v>CH</v>
      </c>
      <c r="D2013" t="s">
        <v>2140</v>
      </c>
      <c r="E2013" t="s">
        <v>2000</v>
      </c>
      <c r="F2013" s="1" cm="1">
        <f t="array" ref="F2013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3" s="1" cm="1">
        <f t="array" ref="G2013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3" s="1" cm="1">
        <f t="array" ref="H2013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3" s="1" cm="1">
        <f t="array" ref="I2013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3" s="1" cm="1">
        <f t="array" ref="J2013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(SUMPRODUCT(("Var_Cap"=[1]OUT_TransportEnergyCons!$B$4:$B$10000)*1,("-"=[1]OUT_TransportEnergyCons!$C$4:$C$10000)*1,ISNUMBER(SEARCH("tfh*ICE*DSL*ext",[1]OUT_TransportEnergyCons!$A$4:$A$10000))*1,[1]OUT_TransportEnergyCons!I$4:I$10000))*1000</f>
        <v>0</v>
      </c>
    </row>
    <row r="2014" spans="2:11" x14ac:dyDescent="0.35">
      <c r="B2014" s="5" t="str">
        <f t="shared" si="1249"/>
        <v>SPS3</v>
      </c>
      <c r="C2014" s="5" t="str">
        <f t="shared" si="1263"/>
        <v>CH</v>
      </c>
      <c r="D2014" t="s">
        <v>2141</v>
      </c>
      <c r="E2014" t="s">
        <v>2000</v>
      </c>
      <c r="F2014" s="1" cm="1">
        <f t="array" ref="F2014">(SUMPRODUCT(("Var_Cap"=[1]OUT_TransportEnergyCons!$B$4:$B$10000)*1,("-"=[1]OUT_TransportEnergyCons!$C$4:$C$10000)*1,ISNUMBER(SEARCH("tfh*ICE*DSL*",[1]OUT_TransportEnergyCons!$A$4:$A$10000))*1,[1]OUT_TransportEnergyCons!D$4:D$10000))*1000-F2013</f>
        <v>11.788558695102363</v>
      </c>
      <c r="G2014" s="1" cm="1">
        <f t="array" ref="G2014">(SUMPRODUCT(("Var_Cap"=[1]OUT_TransportEnergyCons!$B$4:$B$10000)*1,("-"=[1]OUT_TransportEnergyCons!$C$4:$C$10000)*1,ISNUMBER(SEARCH("tfh*ICE*DSL*",[1]OUT_TransportEnergyCons!$A$4:$A$10000))*1,[1]OUT_TransportEnergyCons!E$4:E$10000))*1000-G2013</f>
        <v>13.791045761102314</v>
      </c>
      <c r="H2014" s="1" cm="1">
        <f t="array" ref="H2014">(SUMPRODUCT(("Var_Cap"=[1]OUT_TransportEnergyCons!$B$4:$B$10000)*1,("-"=[1]OUT_TransportEnergyCons!$C$4:$C$10000)*1,ISNUMBER(SEARCH("tfh*ICE*DSL*",[1]OUT_TransportEnergyCons!$A$4:$A$10000))*1,[1]OUT_TransportEnergyCons!F$4:F$10000))*1000-H2013</f>
        <v>10.754879284504845</v>
      </c>
      <c r="I2014" s="1" cm="1">
        <f t="array" ref="I2014">(SUMPRODUCT(("Var_Cap"=[1]OUT_TransportEnergyCons!$B$4:$B$10000)*1,("-"=[1]OUT_TransportEnergyCons!$C$4:$C$10000)*1,ISNUMBER(SEARCH("tfh*ICE*DSL*",[1]OUT_TransportEnergyCons!$A$4:$A$10000))*1,[1]OUT_TransportEnergyCons!G$4:G$10000))*1000-I2013</f>
        <v>1.0009332489011111</v>
      </c>
      <c r="J2014" s="1" cm="1">
        <f t="array" ref="J2014">(SUMPRODUCT(("Var_Cap"=[1]OUT_TransportEnergyCons!$B$4:$B$10000)*1,("-"=[1]OUT_TransportEnergyCons!$C$4:$C$10000)*1,ISNUMBER(SEARCH("tfh*ICE*DSL*",[1]OUT_TransportEnergyCons!$A$4:$A$10000))*1,[1]OUT_TransportEnergyCons!H$4:H$10000))*1000-J2013</f>
        <v>7.1394731958181027E-4</v>
      </c>
      <c r="K2014" s="1" cm="1">
        <f t="array" ref="K2014">(SUMPRODUCT(("Var_Cap"=[1]OUT_TransportEnergyCons!$B$4:$B$10000)*1,("-"=[1]OUT_TransportEnergyCons!$C$4:$C$10000)*1,ISNUMBER(SEARCH("tfh*ICE*DSL*",[1]OUT_TransportEnergyCons!$A$4:$A$10000))*1,[1]OUT_TransportEnergyCons!I$4:I$10000))*1000-K2013</f>
        <v>9.3893895761977821E-5</v>
      </c>
    </row>
    <row r="2015" spans="2:11" x14ac:dyDescent="0.35">
      <c r="B2015" s="5" t="str">
        <f t="shared" si="1249"/>
        <v>SPS3</v>
      </c>
      <c r="C2015" s="5" t="str">
        <f t="shared" si="1263"/>
        <v>CH</v>
      </c>
      <c r="D2015" t="s">
        <v>2142</v>
      </c>
      <c r="E2015" t="s">
        <v>2000</v>
      </c>
      <c r="F2015" s="1" cm="1">
        <f t="array" ref="F2015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15" s="1" cm="1">
        <f t="array" ref="G2015">(SUMPRODUCT(("Var_Cap"=[1]OUT_TransportEnergyCons!$B$4:$B$10000)*1,("-"=[1]OUT_TransportEnergyCons!$C$4:$C$10000)*1,ISNUMBER(SEARCH("tfh*hyb*DSL*",[1]OUT_TransportEnergyCons!$A$4:$A$10000))*1,[1]OUT_TransportEnergyCons!E$4:E$10000))*1000</f>
        <v>3.4549089440583902</v>
      </c>
      <c r="H2015" s="1" cm="1">
        <f t="array" ref="H2015">(SUMPRODUCT(("Var_Cap"=[1]OUT_TransportEnergyCons!$B$4:$B$10000)*1,("-"=[1]OUT_TransportEnergyCons!$C$4:$C$10000)*1,ISNUMBER(SEARCH("tfh*hyb*DSL*",[1]OUT_TransportEnergyCons!$A$4:$A$10000))*1,[1]OUT_TransportEnergyCons!F$4:F$10000))*1000</f>
        <v>12.8369683345441</v>
      </c>
      <c r="I2015" s="1" cm="1">
        <f t="array" ref="I2015">(SUMPRODUCT(("Var_Cap"=[1]OUT_TransportEnergyCons!$B$4:$B$10000)*1,("-"=[1]OUT_TransportEnergyCons!$C$4:$C$10000)*1,ISNUMBER(SEARCH("tfh*hyb*DSL*",[1]OUT_TransportEnergyCons!$A$4:$A$10000))*1,[1]OUT_TransportEnergyCons!G$4:G$10000))*1000</f>
        <v>34.293541964767904</v>
      </c>
      <c r="J2015" s="1" cm="1">
        <f t="array" ref="J2015">(SUMPRODUCT(("Var_Cap"=[1]OUT_TransportEnergyCons!$B$4:$B$10000)*1,("-"=[1]OUT_TransportEnergyCons!$C$4:$C$10000)*1,ISNUMBER(SEARCH("tfh*hyb*DSL*",[1]OUT_TransportEnergyCons!$A$4:$A$10000))*1,[1]OUT_TransportEnergyCons!H$4:H$10000))*1000</f>
        <v>11.672844211174956</v>
      </c>
      <c r="K2015" s="1" cm="1">
        <f t="array" ref="K2015">(SUMPRODUCT(("Var_Cap"=[1]OUT_TransportEnergyCons!$B$4:$B$10000)*1,("-"=[1]OUT_TransportEnergyCons!$C$4:$C$10000)*1,ISNUMBER(SEARCH("tfh*hyb*DSL*",[1]OUT_TransportEnergyCons!$A$4:$A$10000))*1,[1]OUT_TransportEnergyCons!I$4:I$10000))*1000</f>
        <v>1.1994832424529329</v>
      </c>
    </row>
    <row r="2016" spans="2:11" x14ac:dyDescent="0.35">
      <c r="B2016" s="5" t="str">
        <f t="shared" si="1249"/>
        <v>SPS3</v>
      </c>
      <c r="C2016" s="5" t="str">
        <f t="shared" si="1263"/>
        <v>CH</v>
      </c>
      <c r="D2016" t="s">
        <v>2143</v>
      </c>
      <c r="E2016" t="s">
        <v>2000</v>
      </c>
      <c r="F2016" s="1" cm="1">
        <f t="array" ref="F2016">(SUMPRODUCT(("Var_Cap"=[1]OUT_TransportEnergyCons!$B$4:$B$10000)*1,("-"=[1]OUT_TransportEnergyCons!$C$4:$C$10000)*1,ISNUMBER(SEARCH("tfh*ice*nga*",[1]OUT_TransportEnergyCons!$A$4:$A$10000))*1,[1]OUT_TransportEnergyCons!D$4:D$10000))*1000</f>
        <v>3.6288071189429595E-2</v>
      </c>
      <c r="G2016" s="1" cm="1">
        <f t="array" ref="G2016">(SUMPRODUCT(("Var_Cap"=[1]OUT_TransportEnergyCons!$B$4:$B$10000)*1,("-"=[1]OUT_TransportEnergyCons!$C$4:$C$10000)*1,ISNUMBER(SEARCH("tfh*ice*nga*",[1]OUT_TransportEnergyCons!$A$4:$A$10000))*1,[1]OUT_TransportEnergyCons!E$4:E$10000))*1000</f>
        <v>1.8810661366738465E-3</v>
      </c>
      <c r="H2016" s="1" cm="1">
        <f t="array" ref="H2016">(SUMPRODUCT(("Var_Cap"=[1]OUT_TransportEnergyCons!$B$4:$B$10000)*1,("-"=[1]OUT_TransportEnergyCons!$C$4:$C$10000)*1,ISNUMBER(SEARCH("tfh*ice*nga*",[1]OUT_TransportEnergyCons!$A$4:$A$10000))*1,[1]OUT_TransportEnergyCons!F$4:F$10000))*1000</f>
        <v>1.9115574219561707E-3</v>
      </c>
      <c r="I2016" s="1" cm="1">
        <f t="array" ref="I2016">(SUMPRODUCT(("Var_Cap"=[1]OUT_TransportEnergyCons!$B$4:$B$10000)*1,("-"=[1]OUT_TransportEnergyCons!$C$4:$C$10000)*1,ISNUMBER(SEARCH("tfh*ice*nga*",[1]OUT_TransportEnergyCons!$A$4:$A$10000))*1,[1]OUT_TransportEnergyCons!G$4:G$10000))*1000</f>
        <v>1.9399642989154104E-3</v>
      </c>
      <c r="J2016" s="1" cm="1">
        <f t="array" ref="J2016">(SUMPRODUCT(("Var_Cap"=[1]OUT_TransportEnergyCons!$B$4:$B$10000)*1,("-"=[1]OUT_TransportEnergyCons!$C$4:$C$10000)*1,ISNUMBER(SEARCH("tfh*ice*nga*",[1]OUT_TransportEnergyCons!$A$4:$A$10000))*1,[1]OUT_TransportEnergyCons!H$4:H$10000))*1000</f>
        <v>1.9606338140414101E-3</v>
      </c>
      <c r="K2016" s="1" cm="1">
        <f t="array" ref="K2016">(SUMPRODUCT(("Var_Cap"=[1]OUT_TransportEnergyCons!$B$4:$B$10000)*1,("-"=[1]OUT_TransportEnergyCons!$C$4:$C$10000)*1,ISNUMBER(SEARCH("tfh*ice*nga*",[1]OUT_TransportEnergyCons!$A$4:$A$10000))*1,[1]OUT_TransportEnergyCons!I$4:I$10000))*1000</f>
        <v>1.9859890756777801E-3</v>
      </c>
    </row>
    <row r="2017" spans="2:11" x14ac:dyDescent="0.35">
      <c r="B2017" s="5" t="str">
        <f t="shared" si="1249"/>
        <v>SPS3</v>
      </c>
      <c r="C2017" s="5" t="str">
        <f>C2016</f>
        <v>CH</v>
      </c>
      <c r="D2017" s="2" t="s">
        <v>2144</v>
      </c>
      <c r="E2017" s="2" t="s">
        <v>2155</v>
      </c>
      <c r="F2017" s="3">
        <f t="shared" ref="F2017" si="1264">SUM(F2018,F2022,F2025)</f>
        <v>4.9062128708347603E-4</v>
      </c>
      <c r="G2017" s="3">
        <f t="shared" ref="G2017" si="1265">SUM(G2018,G2022,G2025)</f>
        <v>4.9843078847811603E-4</v>
      </c>
      <c r="H2017" s="3">
        <f t="shared" ref="H2017" si="1266">SUM(H2018,H2022,H2025)</f>
        <v>5.1017609431159064E-4</v>
      </c>
      <c r="I2017" s="3">
        <f t="shared" ref="I2017" si="1267">SUM(I2018,I2022,I2025)</f>
        <v>5.7751602928272883E-4</v>
      </c>
      <c r="J2017" s="3">
        <f t="shared" ref="J2017" si="1268">SUM(J2018,J2022,J2025)</f>
        <v>0.35779464622394652</v>
      </c>
      <c r="K2017" s="3">
        <f t="shared" ref="K2017" si="1269">SUM(K2018,K2022,K2025)</f>
        <v>1.841683413454386</v>
      </c>
    </row>
    <row r="2018" spans="2:11" x14ac:dyDescent="0.35">
      <c r="B2018" s="5" t="str">
        <f t="shared" si="1249"/>
        <v>SPS3</v>
      </c>
      <c r="C2018" s="5" t="str">
        <f t="shared" ref="C2018:C2027" si="1270">C2017</f>
        <v>CH</v>
      </c>
      <c r="D2018" t="s">
        <v>2145</v>
      </c>
      <c r="E2018" t="s">
        <v>2155</v>
      </c>
      <c r="F2018" s="1" cm="1">
        <f t="array" ref="F2018">SUMPRODUCT(ISNUMBER(SEARCH("SUP_ELCH2*",[1]OUT_SyntheticFuels!$C$4:$C$1000))*1,("Var_cap"=[1]OUT_SyntheticFuels!$B$4:$B$1000)*1,[1]OUT_SyntheticFuels!E$4:E$1000)</f>
        <v>4.9062128708347603E-4</v>
      </c>
      <c r="G2018" s="1" cm="1">
        <f t="array" ref="G2018">SUMPRODUCT(ISNUMBER(SEARCH("SUP_ELCH2*",[1]OUT_SyntheticFuels!$C$4:$C$1000))*1,("Var_cap"=[1]OUT_SyntheticFuels!$B$4:$B$1000)*1,[1]OUT_SyntheticFuels!F$4:F$1000)</f>
        <v>4.9843078847811603E-4</v>
      </c>
      <c r="H2018" s="1" cm="1">
        <f t="array" ref="H2018">SUMPRODUCT(ISNUMBER(SEARCH("SUP_ELCH2*",[1]OUT_SyntheticFuels!$C$4:$C$1000))*1,("Var_cap"=[1]OUT_SyntheticFuels!$B$4:$B$1000)*1,[1]OUT_SyntheticFuels!G$4:G$1000)</f>
        <v>5.1017609431159064E-4</v>
      </c>
      <c r="I2018" s="1" cm="1">
        <f t="array" ref="I2018">SUMPRODUCT(ISNUMBER(SEARCH("SUP_ELCH2*",[1]OUT_SyntheticFuels!$C$4:$C$1000))*1,("Var_cap"=[1]OUT_SyntheticFuels!$B$4:$B$1000)*1,[1]OUT_SyntheticFuels!H$4:H$1000)</f>
        <v>5.7642740846484584E-4</v>
      </c>
      <c r="J2018" s="1" cm="1">
        <f t="array" ref="J2018">SUMPRODUCT(ISNUMBER(SEARCH("SUP_ELCH2*",[1]OUT_SyntheticFuels!$C$4:$C$1000))*1,("Var_cap"=[1]OUT_SyntheticFuels!$B$4:$B$1000)*1,[1]OUT_SyntheticFuels!I$4:I$1000)</f>
        <v>0.35778892953533803</v>
      </c>
      <c r="K2018" s="1" cm="1">
        <f t="array" ref="K2018">SUMPRODUCT(ISNUMBER(SEARCH("SUP_ELCH2*",[1]OUT_SyntheticFuels!$C$4:$C$1000))*1,("Var_cap"=[1]OUT_SyntheticFuels!$B$4:$B$1000)*1,[1]OUT_SyntheticFuels!J$4:J$1000)</f>
        <v>1.6345416674934237</v>
      </c>
    </row>
    <row r="2019" spans="2:11" x14ac:dyDescent="0.35">
      <c r="B2019" s="5" t="str">
        <f t="shared" si="1249"/>
        <v>SPS3</v>
      </c>
      <c r="C2019" s="5" t="str">
        <f t="shared" si="1270"/>
        <v>CH</v>
      </c>
      <c r="D2019" t="s">
        <v>2146</v>
      </c>
      <c r="E2019" t="s">
        <v>2155</v>
      </c>
      <c r="F2019" s="1">
        <f t="shared" ref="F2019" si="1271">F2018-F2020-F2021</f>
        <v>4.9062128708347603E-4</v>
      </c>
      <c r="G2019" s="1">
        <f t="shared" ref="G2019" si="1272">G2018-G2020-G2021</f>
        <v>4.9843078847811603E-4</v>
      </c>
      <c r="H2019" s="1">
        <f t="shared" ref="H2019" si="1273">H2018-H2020-H2021</f>
        <v>5.1017609431159064E-4</v>
      </c>
      <c r="I2019" s="1">
        <f t="shared" ref="I2019" si="1274">I2018-I2020-I2021</f>
        <v>5.6083297571386857E-4</v>
      </c>
      <c r="J2019" s="1">
        <f t="shared" ref="J2019" si="1275">J2018-J2020-J2021</f>
        <v>6.2356146041001925E-2</v>
      </c>
      <c r="K2019" s="1">
        <f t="shared" ref="K2019" si="1276">K2018-K2020-K2021</f>
        <v>0.11465869370447535</v>
      </c>
    </row>
    <row r="2020" spans="2:11" x14ac:dyDescent="0.35">
      <c r="B2020" s="5" t="str">
        <f t="shared" si="1249"/>
        <v>SPS3</v>
      </c>
      <c r="C2020" s="5" t="str">
        <f t="shared" si="1270"/>
        <v>CH</v>
      </c>
      <c r="D2020" t="s">
        <v>2147</v>
      </c>
      <c r="E2020" t="s">
        <v>2155</v>
      </c>
      <c r="F2020" s="1" cm="1">
        <f t="array" ref="F2020">SUMPRODUCT(ISNUMBER(SEARCH("SUP_ELCH2*D",[1]OUT_SyntheticFuels!$C$4:$C$1000))*1,("Var_cap"=[1]OUT_SyntheticFuels!$B$4:$B$1000)*1,[1]OUT_SyntheticFuels!E$4:E$1000)</f>
        <v>0</v>
      </c>
      <c r="G2020" s="1" cm="1">
        <f t="array" ref="G2020">SUMPRODUCT(ISNUMBER(SEARCH("SUP_ELCH2*D",[1]OUT_SyntheticFuels!$C$4:$C$1000))*1,("Var_cap"=[1]OUT_SyntheticFuels!$B$4:$B$1000)*1,[1]OUT_SyntheticFuels!F$4:F$1000)</f>
        <v>0</v>
      </c>
      <c r="H2020" s="1" cm="1">
        <f t="array" ref="H2020">SUMPRODUCT(ISNUMBER(SEARCH("SUP_ELCH2*D",[1]OUT_SyntheticFuels!$C$4:$C$1000))*1,("Var_cap"=[1]OUT_SyntheticFuels!$B$4:$B$1000)*1,[1]OUT_SyntheticFuels!G$4:G$1000)</f>
        <v>0</v>
      </c>
      <c r="I2020" s="1" cm="1">
        <f t="array" ref="I2020">SUMPRODUCT(ISNUMBER(SEARCH("SUP_ELCH2*D",[1]OUT_SyntheticFuels!$C$4:$C$1000))*1,("Var_cap"=[1]OUT_SyntheticFuels!$B$4:$B$1000)*1,[1]OUT_SyntheticFuels!H$4:H$1000)</f>
        <v>1.5594432750977299E-5</v>
      </c>
      <c r="J2020" s="1" cm="1">
        <f t="array" ref="J2020">SUMPRODUCT(ISNUMBER(SEARCH("SUP_ELCH2*D",[1]OUT_SyntheticFuels!$C$4:$C$1000))*1,("Var_cap"=[1]OUT_SyntheticFuels!$B$4:$B$1000)*1,[1]OUT_SyntheticFuels!I$4:I$1000)</f>
        <v>1.01950258203068E-4</v>
      </c>
      <c r="K2020" s="1" cm="1">
        <f t="array" ref="K2020">SUMPRODUCT(ISNUMBER(SEARCH("SUP_ELCH2*D",[1]OUT_SyntheticFuels!$C$4:$C$1000))*1,("Var_cap"=[1]OUT_SyntheticFuels!$B$4:$B$1000)*1,[1]OUT_SyntheticFuels!J$4:J$1000)</f>
        <v>9.5422441062911599E-5</v>
      </c>
    </row>
    <row r="2021" spans="2:11" x14ac:dyDescent="0.35">
      <c r="B2021" s="5" t="str">
        <f t="shared" si="1249"/>
        <v>SPS3</v>
      </c>
      <c r="C2021" s="5" t="str">
        <f t="shared" si="1270"/>
        <v>CH</v>
      </c>
      <c r="D2021" t="s">
        <v>2148</v>
      </c>
      <c r="E2021" t="s">
        <v>2155</v>
      </c>
      <c r="F2021" s="1" cm="1">
        <f t="array" ref="F2021">SUMPRODUCT(ISNUMBER(SEARCH("SUP_ELCH2*SOEC*",[1]OUT_SyntheticFuels!$C$4:$C$1000))*1,("Var_cap"=[1]OUT_SyntheticFuels!$B$4:$B$1000)*1,[1]OUT_SyntheticFuels!E$4:E$1000)</f>
        <v>0</v>
      </c>
      <c r="G2021" s="1" cm="1">
        <f t="array" ref="G2021">SUMPRODUCT(ISNUMBER(SEARCH("SUP_ELCH2*SOEC*",[1]OUT_SyntheticFuels!$C$4:$C$1000))*1,("Var_cap"=[1]OUT_SyntheticFuels!$B$4:$B$1000)*1,[1]OUT_SyntheticFuels!F$4:F$1000)</f>
        <v>0</v>
      </c>
      <c r="H2021" s="1" cm="1">
        <f t="array" ref="H2021">SUMPRODUCT(ISNUMBER(SEARCH("SUP_ELCH2*SOEC*",[1]OUT_SyntheticFuels!$C$4:$C$1000))*1,("Var_cap"=[1]OUT_SyntheticFuels!$B$4:$B$1000)*1,[1]OUT_SyntheticFuels!G$4:G$1000)</f>
        <v>0</v>
      </c>
      <c r="I2021" s="1" cm="1">
        <f t="array" ref="I2021">SUMPRODUCT(ISNUMBER(SEARCH("SUP_ELCH2*SOEC*",[1]OUT_SyntheticFuels!$C$4:$C$1000))*1,("Var_cap"=[1]OUT_SyntheticFuels!$B$4:$B$1000)*1,[1]OUT_SyntheticFuels!H$4:H$1000)</f>
        <v>0</v>
      </c>
      <c r="J2021" s="1" cm="1">
        <f t="array" ref="J2021">SUMPRODUCT(ISNUMBER(SEARCH("SUP_ELCH2*SOEC*",[1]OUT_SyntheticFuels!$C$4:$C$1000))*1,("Var_cap"=[1]OUT_SyntheticFuels!$B$4:$B$1000)*1,[1]OUT_SyntheticFuels!I$4:I$1000)</f>
        <v>0.29533083323613302</v>
      </c>
      <c r="K2021" s="1" cm="1">
        <f t="array" ref="K2021">SUMPRODUCT(ISNUMBER(SEARCH("SUP_ELCH2*SOEC*",[1]OUT_SyntheticFuels!$C$4:$C$1000))*1,("Var_cap"=[1]OUT_SyntheticFuels!$B$4:$B$1000)*1,[1]OUT_SyntheticFuels!J$4:J$1000)</f>
        <v>1.5197875513478853</v>
      </c>
    </row>
    <row r="2022" spans="2:11" x14ac:dyDescent="0.35">
      <c r="B2022" s="5" t="str">
        <f t="shared" si="1249"/>
        <v>SPS3</v>
      </c>
      <c r="C2022" s="5" t="str">
        <f t="shared" si="1270"/>
        <v>CH</v>
      </c>
      <c r="D2022" t="s">
        <v>2149</v>
      </c>
      <c r="E2022" t="s">
        <v>2155</v>
      </c>
      <c r="F2022" s="1">
        <f t="shared" ref="F2022" si="1277">SUM(F2023:F2024)</f>
        <v>0</v>
      </c>
      <c r="G2022" s="1">
        <f t="shared" ref="G2022" si="1278">SUM(G2023:G2024)</f>
        <v>0</v>
      </c>
      <c r="H2022" s="1">
        <f t="shared" ref="H2022" si="1279">SUM(H2023:H2024)</f>
        <v>0</v>
      </c>
      <c r="I2022" s="1">
        <f t="shared" ref="I2022" si="1280">SUM(I2023:I2024)</f>
        <v>1.0886208178830101E-6</v>
      </c>
      <c r="J2022" s="1">
        <f t="shared" ref="J2022" si="1281">SUM(J2023:J2024)</f>
        <v>5.7166886085143498E-6</v>
      </c>
      <c r="K2022" s="1">
        <f t="shared" ref="K2022" si="1282">SUM(K2023:K2024)</f>
        <v>2.0720750601815793E-4</v>
      </c>
    </row>
    <row r="2023" spans="2:11" x14ac:dyDescent="0.35">
      <c r="B2023" s="5" t="str">
        <f t="shared" si="1249"/>
        <v>SPS3</v>
      </c>
      <c r="C2023" s="5" t="str">
        <f t="shared" si="1270"/>
        <v>CH</v>
      </c>
      <c r="D2023" t="s">
        <v>2150</v>
      </c>
      <c r="E2023" t="s">
        <v>2155</v>
      </c>
      <c r="F2023" s="1" cm="1">
        <f t="array" ref="F2023">SUMPRODUCT(ISNUMBER(SEARCH("SUP_NGAH2",[1]OUT_SyntheticFuels!$C$4:$C$1000))*1,("Var_cap"=[1]OUT_SyntheticFuels!$B$4:$B$1000)*1,[1]OUT_SyntheticFuels!E$4:E$1000)-F2024</f>
        <v>0</v>
      </c>
      <c r="G2023" s="1" cm="1">
        <f t="array" ref="G2023">SUMPRODUCT(ISNUMBER(SEARCH("SUP_NGAH2",[1]OUT_SyntheticFuels!$C$4:$C$1000))*1,("Var_cap"=[1]OUT_SyntheticFuels!$B$4:$B$1000)*1,[1]OUT_SyntheticFuels!F$4:F$1000)-G2024</f>
        <v>0</v>
      </c>
      <c r="H2023" s="1" cm="1">
        <f t="array" ref="H2023">SUMPRODUCT(ISNUMBER(SEARCH("SUP_NGAH2",[1]OUT_SyntheticFuels!$C$4:$C$1000))*1,("Var_cap"=[1]OUT_SyntheticFuels!$B$4:$B$1000)*1,[1]OUT_SyntheticFuels!G$4:G$1000)-H2024</f>
        <v>0</v>
      </c>
      <c r="I2023" s="1" cm="1">
        <f t="array" ref="I2023">SUMPRODUCT(ISNUMBER(SEARCH("SUP_NGAH2",[1]OUT_SyntheticFuels!$C$4:$C$1000))*1,("Var_cap"=[1]OUT_SyntheticFuels!$B$4:$B$1000)*1,[1]OUT_SyntheticFuels!H$4:H$1000)-I2024</f>
        <v>1.0886208178830101E-6</v>
      </c>
      <c r="J2023" s="1" cm="1">
        <f t="array" ref="J2023">SUMPRODUCT(ISNUMBER(SEARCH("SUP_NGAH2",[1]OUT_SyntheticFuels!$C$4:$C$1000))*1,("Var_cap"=[1]OUT_SyntheticFuels!$B$4:$B$1000)*1,[1]OUT_SyntheticFuels!I$4:I$1000)-J2024</f>
        <v>4.3249676998607201E-6</v>
      </c>
      <c r="K2023" s="1" cm="1">
        <f t="array" ref="K2023">SUMPRODUCT(ISNUMBER(SEARCH("SUP_NGAH2",[1]OUT_SyntheticFuels!$C$4:$C$1000))*1,("Var_cap"=[1]OUT_SyntheticFuels!$B$4:$B$1000)*1,[1]OUT_SyntheticFuels!J$4:J$1000)-K2024</f>
        <v>1.2551926112555015E-4</v>
      </c>
    </row>
    <row r="2024" spans="2:11" x14ac:dyDescent="0.35">
      <c r="B2024" s="5" t="str">
        <f t="shared" si="1249"/>
        <v>SPS3</v>
      </c>
      <c r="C2024" s="5" t="str">
        <f t="shared" si="1270"/>
        <v>CH</v>
      </c>
      <c r="D2024" t="s">
        <v>2151</v>
      </c>
      <c r="E2024" t="s">
        <v>2155</v>
      </c>
      <c r="F2024" s="1" cm="1">
        <f t="array" ref="F2024">SUMPRODUCT(ISNUMBER(SEARCH("SUP_NGAH2CCS",[1]OUT_SyntheticFuels!$C$4:$C$1000))*1,("Var_cap"=[1]OUT_SyntheticFuels!$B$4:$B$1000)*1,[1]OUT_SyntheticFuels!E$4:E$1000)</f>
        <v>0</v>
      </c>
      <c r="G2024" s="1" cm="1">
        <f t="array" ref="G2024">SUMPRODUCT(ISNUMBER(SEARCH("SUP_NGAH2CCS",[1]OUT_SyntheticFuels!$C$4:$C$1000))*1,("Var_cap"=[1]OUT_SyntheticFuels!$B$4:$B$1000)*1,[1]OUT_SyntheticFuels!F$4:F$1000)</f>
        <v>0</v>
      </c>
      <c r="H2024" s="1" cm="1">
        <f t="array" ref="H2024">SUMPRODUCT(ISNUMBER(SEARCH("SUP_NGAH2CCS",[1]OUT_SyntheticFuels!$C$4:$C$1000))*1,("Var_cap"=[1]OUT_SyntheticFuels!$B$4:$B$1000)*1,[1]OUT_SyntheticFuels!G$4:G$1000)</f>
        <v>0</v>
      </c>
      <c r="I2024" s="1" cm="1">
        <f t="array" ref="I2024">SUMPRODUCT(ISNUMBER(SEARCH("SUP_NGAH2CCS",[1]OUT_SyntheticFuels!$C$4:$C$1000))*1,("Var_cap"=[1]OUT_SyntheticFuels!$B$4:$B$1000)*1,[1]OUT_SyntheticFuels!H$4:H$1000)</f>
        <v>0</v>
      </c>
      <c r="J2024" s="1" cm="1">
        <f t="array" ref="J2024">SUMPRODUCT(ISNUMBER(SEARCH("SUP_NGAH2CCS",[1]OUT_SyntheticFuels!$C$4:$C$1000))*1,("Var_cap"=[1]OUT_SyntheticFuels!$B$4:$B$1000)*1,[1]OUT_SyntheticFuels!I$4:I$1000)</f>
        <v>1.3917209086536299E-6</v>
      </c>
      <c r="K2024" s="1" cm="1">
        <f t="array" ref="K2024">SUMPRODUCT(ISNUMBER(SEARCH("SUP_NGAH2CCS",[1]OUT_SyntheticFuels!$C$4:$C$1000))*1,("Var_cap"=[1]OUT_SyntheticFuels!$B$4:$B$1000)*1,[1]OUT_SyntheticFuels!J$4:J$1000)</f>
        <v>8.1688244892607774E-5</v>
      </c>
    </row>
    <row r="2025" spans="2:11" x14ac:dyDescent="0.35">
      <c r="B2025" s="5" t="str">
        <f t="shared" si="1249"/>
        <v>SPS3</v>
      </c>
      <c r="C2025" s="5" t="str">
        <f t="shared" si="1270"/>
        <v>CH</v>
      </c>
      <c r="D2025" t="s">
        <v>2152</v>
      </c>
      <c r="E2025" t="s">
        <v>2155</v>
      </c>
      <c r="F2025" s="1">
        <f t="shared" ref="F2025" si="1283">SUM(F2026:F2027)</f>
        <v>0</v>
      </c>
      <c r="G2025" s="1">
        <f t="shared" ref="G2025" si="1284">SUM(G2026:G2027)</f>
        <v>0</v>
      </c>
      <c r="H2025" s="1">
        <f t="shared" ref="H2025" si="1285">SUM(H2026:H2027)</f>
        <v>0</v>
      </c>
      <c r="I2025" s="1">
        <f t="shared" ref="I2025" si="1286">SUM(I2026:I2027)</f>
        <v>0</v>
      </c>
      <c r="J2025" s="1">
        <f t="shared" ref="J2025" si="1287">SUM(J2026:J2027)</f>
        <v>0</v>
      </c>
      <c r="K2025" s="1">
        <f t="shared" ref="K2025" si="1288">SUM(K2026:K2027)</f>
        <v>0.20693453845494414</v>
      </c>
    </row>
    <row r="2026" spans="2:11" x14ac:dyDescent="0.35">
      <c r="B2026" s="5" t="str">
        <f t="shared" si="1249"/>
        <v>SPS3</v>
      </c>
      <c r="C2026" s="5" t="str">
        <f t="shared" si="1270"/>
        <v>CH</v>
      </c>
      <c r="D2026" t="s">
        <v>2153</v>
      </c>
      <c r="E2026" t="s">
        <v>2155</v>
      </c>
      <c r="F2026" s="1" cm="1">
        <f t="array" ref="F2026">SUMPRODUCT(ISNUMBER(SEARCH("SUP_WODH2",[1]OUT_SyntheticFuels!$C$4:$C$1000))*1,("Var_cap"=[1]OUT_SyntheticFuels!$B$4:$B$1000)*1,[1]OUT_SyntheticFuels!E$4:E$1000)-F2027</f>
        <v>0</v>
      </c>
      <c r="G2026" s="1" cm="1">
        <f t="array" ref="G2026">SUMPRODUCT(ISNUMBER(SEARCH("SUP_WODH2",[1]OUT_SyntheticFuels!$C$4:$C$1000))*1,("Var_cap"=[1]OUT_SyntheticFuels!$B$4:$B$1000)*1,[1]OUT_SyntheticFuels!F$4:F$1000)-G2027</f>
        <v>0</v>
      </c>
      <c r="H2026" s="1" cm="1">
        <f t="array" ref="H2026">SUMPRODUCT(ISNUMBER(SEARCH("SUP_WODH2",[1]OUT_SyntheticFuels!$C$4:$C$1000))*1,("Var_cap"=[1]OUT_SyntheticFuels!$B$4:$B$1000)*1,[1]OUT_SyntheticFuels!G$4:G$1000)-H2027</f>
        <v>0</v>
      </c>
      <c r="I2026" s="1" cm="1">
        <f t="array" ref="I2026">SUMPRODUCT(ISNUMBER(SEARCH("SUP_WODH2",[1]OUT_SyntheticFuels!$C$4:$C$1000))*1,("Var_cap"=[1]OUT_SyntheticFuels!$B$4:$B$1000)*1,[1]OUT_SyntheticFuels!H$4:H$1000)-I2027</f>
        <v>0</v>
      </c>
      <c r="J2026" s="1" cm="1">
        <f t="array" ref="J2026">SUMPRODUCT(ISNUMBER(SEARCH("SUP_WODH2",[1]OUT_SyntheticFuels!$C$4:$C$1000))*1,("Var_cap"=[1]OUT_SyntheticFuels!$B$4:$B$1000)*1,[1]OUT_SyntheticFuels!I$4:I$1000)-J2027</f>
        <v>0</v>
      </c>
      <c r="K2026" s="1" cm="1">
        <f t="array" ref="K2026">SUMPRODUCT(ISNUMBER(SEARCH("SUP_WODH2",[1]OUT_SyntheticFuels!$C$4:$C$1000))*1,("Var_cap"=[1]OUT_SyntheticFuels!$B$4:$B$1000)*1,[1]OUT_SyntheticFuels!J$4:J$1000)-K2027</f>
        <v>4.3068873374130234E-5</v>
      </c>
    </row>
    <row r="2027" spans="2:11" x14ac:dyDescent="0.35">
      <c r="B2027" s="5" t="str">
        <f t="shared" si="1249"/>
        <v>SPS3</v>
      </c>
      <c r="C2027" s="5" t="str">
        <f t="shared" si="1270"/>
        <v>CH</v>
      </c>
      <c r="D2027" t="s">
        <v>2154</v>
      </c>
      <c r="E2027" t="s">
        <v>2155</v>
      </c>
      <c r="F2027" s="1" cm="1">
        <f t="array" ref="F2027">SUMPRODUCT(ISNUMBER(SEARCH("SUP_WODH2CCS",[1]OUT_SyntheticFuels!$C$4:$C$1000))*1,("Var_cap"=[1]OUT_SyntheticFuels!$B$4:$B$1000)*1,[1]OUT_SyntheticFuels!E$4:E$1000)</f>
        <v>0</v>
      </c>
      <c r="G2027" s="1" cm="1">
        <f t="array" ref="G2027">SUMPRODUCT(ISNUMBER(SEARCH("SUP_WODH2CCS",[1]OUT_SyntheticFuels!$C$4:$C$1000))*1,("Var_cap"=[1]OUT_SyntheticFuels!$B$4:$B$1000)*1,[1]OUT_SyntheticFuels!F$4:F$1000)</f>
        <v>0</v>
      </c>
      <c r="H2027" s="1" cm="1">
        <f t="array" ref="H2027">SUMPRODUCT(ISNUMBER(SEARCH("SUP_WODH2CCS",[1]OUT_SyntheticFuels!$C$4:$C$1000))*1,("Var_cap"=[1]OUT_SyntheticFuels!$B$4:$B$1000)*1,[1]OUT_SyntheticFuels!G$4:G$1000)</f>
        <v>0</v>
      </c>
      <c r="I2027" s="1" cm="1">
        <f t="array" ref="I2027">SUMPRODUCT(ISNUMBER(SEARCH("SUP_WODH2CCS",[1]OUT_SyntheticFuels!$C$4:$C$1000))*1,("Var_cap"=[1]OUT_SyntheticFuels!$B$4:$B$1000)*1,[1]OUT_SyntheticFuels!H$4:H$1000)</f>
        <v>0</v>
      </c>
      <c r="J2027" s="1" cm="1">
        <f t="array" ref="J2027">SUMPRODUCT(ISNUMBER(SEARCH("SUP_WODH2CCS",[1]OUT_SyntheticFuels!$C$4:$C$1000))*1,("Var_cap"=[1]OUT_SyntheticFuels!$B$4:$B$1000)*1,[1]OUT_SyntheticFuels!I$4:I$1000)</f>
        <v>0</v>
      </c>
      <c r="K2027" s="1" cm="1">
        <f t="array" ref="K2027">SUMPRODUCT(ISNUMBER(SEARCH("SUP_WODH2CCS",[1]OUT_SyntheticFuels!$C$4:$C$1000))*1,("Var_cap"=[1]OUT_SyntheticFuels!$B$4:$B$1000)*1,[1]OUT_SyntheticFuels!J$4:J$1000)</f>
        <v>0.20689146958157001</v>
      </c>
    </row>
    <row r="2028" spans="2:11" x14ac:dyDescent="0.35">
      <c r="B2028" s="5" t="str">
        <f t="shared" si="1249"/>
        <v>SPS3</v>
      </c>
      <c r="C2028" s="5" t="str">
        <f>C2027</f>
        <v>CH</v>
      </c>
      <c r="D2028" s="2" t="s">
        <v>2159</v>
      </c>
      <c r="E2028" s="2" t="s">
        <v>2157</v>
      </c>
    </row>
    <row r="2029" spans="2:11" x14ac:dyDescent="0.35">
      <c r="B2029" s="5" t="str">
        <f t="shared" si="1249"/>
        <v>SPS3</v>
      </c>
      <c r="C2029" s="5" t="str">
        <f t="shared" ref="C2029:C2044" si="1289">C2028</f>
        <v>CH</v>
      </c>
      <c r="D2029" t="s">
        <v>2163</v>
      </c>
      <c r="E2029" t="s">
        <v>2157</v>
      </c>
      <c r="F2029" s="7" cm="1">
        <f t="array" ref="F2029">SUMPRODUCT(("CT_CWODBDS"=[1]OUT_SyntheticFuels!$C$4:$C$1000)*1,("Var_cap"=[1]OUT_SyntheticFuels!$B$4:$B$1000)*1,[1]OUT_SyntheticFuels!E$4:E$1000)</f>
        <v>4.0931170954330257E-2</v>
      </c>
      <c r="G2029" s="7" cm="1">
        <f t="array" ref="G2029">SUMPRODUCT(("CT_CWODBDS"=[1]OUT_SyntheticFuels!$C$4:$C$1000)*1,("Var_cap"=[1]OUT_SyntheticFuels!$B$4:$B$1000)*1,[1]OUT_SyntheticFuels!F$4:F$1000)</f>
        <v>3.6644904174166104E-2</v>
      </c>
      <c r="H2029" s="7" cm="1">
        <f t="array" ref="H2029">SUMPRODUCT(("CT_CWODBDS"=[1]OUT_SyntheticFuels!$C$4:$C$1000)*1,("Var_cap"=[1]OUT_SyntheticFuels!$B$4:$B$1000)*1,[1]OUT_SyntheticFuels!G$4:G$1000)</f>
        <v>3.6638970864399975E-2</v>
      </c>
      <c r="I2029" s="7" cm="1">
        <f t="array" ref="I2029">SUMPRODUCT(("CT_CWODBDS"=[1]OUT_SyntheticFuels!$C$4:$C$1000)*1,("Var_cap"=[1]OUT_SyntheticFuels!$B$4:$B$1000)*1,[1]OUT_SyntheticFuels!H$4:H$1000)</f>
        <v>4.0422818127750032E-2</v>
      </c>
      <c r="J2029" s="7" cm="1">
        <f t="array" ref="J2029">SUMPRODUCT(("CT_CWODBDS"=[1]OUT_SyntheticFuels!$C$4:$C$1000)*1,("Var_cap"=[1]OUT_SyntheticFuels!$B$4:$B$1000)*1,[1]OUT_SyntheticFuels!I$4:I$1000)</f>
        <v>2.4201215043259287E-2</v>
      </c>
      <c r="K2029" s="7" cm="1">
        <f t="array" ref="K2029">SUMPRODUCT(("CT_CWODBDS"=[1]OUT_SyntheticFuels!$C$4:$C$1000)*1,("Var_cap"=[1]OUT_SyntheticFuels!$B$4:$B$1000)*1,[1]OUT_SyntheticFuels!J$4:J$1000)</f>
        <v>8.5781681905598012E-5</v>
      </c>
    </row>
    <row r="2030" spans="2:11" x14ac:dyDescent="0.35">
      <c r="B2030" s="5" t="str">
        <f t="shared" si="1249"/>
        <v>SPS3</v>
      </c>
      <c r="C2030" s="5" t="str">
        <f t="shared" si="1289"/>
        <v>CH</v>
      </c>
      <c r="D2030" t="s">
        <v>2164</v>
      </c>
      <c r="E2030" t="s">
        <v>2157</v>
      </c>
      <c r="F2030" s="7" cm="1">
        <f t="array" ref="F2030">SUMPRODUCT(("CT_CWODBDSCCS"=[1]OUT_SyntheticFuels!$C$4:$C$1000)*1,("Var_cap"=[1]OUT_SyntheticFuels!$B$4:$B$1000)*1,[1]OUT_SyntheticFuels!E$4:E$1000)</f>
        <v>0</v>
      </c>
      <c r="G2030" s="7" cm="1">
        <f t="array" ref="G2030">SUMPRODUCT(("CT_CWODBDSCCS"=[1]OUT_SyntheticFuels!$C$4:$C$1000)*1,("Var_cap"=[1]OUT_SyntheticFuels!$B$4:$B$1000)*1,[1]OUT_SyntheticFuels!F$4:F$1000)</f>
        <v>0</v>
      </c>
      <c r="H2030" s="7" cm="1">
        <f t="array" ref="H2030">SUMPRODUCT(("CT_CWODBDSCCS"=[1]OUT_SyntheticFuels!$C$4:$C$1000)*1,("Var_cap"=[1]OUT_SyntheticFuels!$B$4:$B$1000)*1,[1]OUT_SyntheticFuels!G$4:G$1000)</f>
        <v>0</v>
      </c>
      <c r="I2030" s="7" cm="1">
        <f t="array" ref="I2030">SUMPRODUCT(("CT_CWODBDSCCS"=[1]OUT_SyntheticFuels!$C$4:$C$1000)*1,("Var_cap"=[1]OUT_SyntheticFuels!$B$4:$B$1000)*1,[1]OUT_SyntheticFuels!H$4:H$1000)</f>
        <v>0</v>
      </c>
      <c r="J2030" s="7" cm="1">
        <f t="array" ref="J2030">SUMPRODUCT(("CT_CWODBDSCCS"=[1]OUT_SyntheticFuels!$C$4:$C$1000)*1,("Var_cap"=[1]OUT_SyntheticFuels!$B$4:$B$1000)*1,[1]OUT_SyntheticFuels!I$4:I$1000)</f>
        <v>2.8903225206738699E-5</v>
      </c>
      <c r="K2030" s="7" cm="1">
        <f t="array" ref="K2030">SUMPRODUCT(("CT_CWODBDSCCS"=[1]OUT_SyntheticFuels!$C$4:$C$1000)*1,("Var_cap"=[1]OUT_SyntheticFuels!$B$4:$B$1000)*1,[1]OUT_SyntheticFuels!J$4:J$1000)</f>
        <v>4.93823783580798E-2</v>
      </c>
    </row>
    <row r="2031" spans="2:11" x14ac:dyDescent="0.35">
      <c r="B2031" s="5" t="str">
        <f t="shared" si="1249"/>
        <v>SPS3</v>
      </c>
      <c r="C2031" s="5" t="str">
        <f t="shared" si="1289"/>
        <v>CH</v>
      </c>
      <c r="D2031" t="s">
        <v>2168</v>
      </c>
      <c r="E2031" t="s">
        <v>2157</v>
      </c>
      <c r="F2031" s="7" cm="1">
        <f t="array" ref="F2031">SUMPRODUCT(("CT_CWODETH"=[1]OUT_SyntheticFuels!$C$4:$C$1000)*1,("Var_cap"=[1]OUT_SyntheticFuels!$B$4:$B$1000)*1,[1]OUT_SyntheticFuels!E$4:E$1000)</f>
        <v>4.9845574373520761E-3</v>
      </c>
      <c r="G2031" s="7" cm="1">
        <f t="array" ref="G2031">SUMPRODUCT(("CT_CWODETH"=[1]OUT_SyntheticFuels!$C$4:$C$1000)*1,("Var_cap"=[1]OUT_SyntheticFuels!$B$4:$B$1000)*1,[1]OUT_SyntheticFuels!F$4:F$1000)</f>
        <v>8.1365889688158645E-3</v>
      </c>
      <c r="H2031" s="7" cm="1">
        <f t="array" ref="H2031">SUMPRODUCT(("CT_CWODETH"=[1]OUT_SyntheticFuels!$C$4:$C$1000)*1,("Var_cap"=[1]OUT_SyntheticFuels!$B$4:$B$1000)*1,[1]OUT_SyntheticFuels!G$4:G$1000)</f>
        <v>8.16500335988978E-3</v>
      </c>
      <c r="I2031" s="7" cm="1">
        <f t="array" ref="I2031">SUMPRODUCT(("CT_CWODETH"=[1]OUT_SyntheticFuels!$C$4:$C$1000)*1,("Var_cap"=[1]OUT_SyntheticFuels!$B$4:$B$1000)*1,[1]OUT_SyntheticFuels!H$4:H$1000)</f>
        <v>7.0402966208995398E-3</v>
      </c>
      <c r="J2031" s="7" cm="1">
        <f t="array" ref="J2031">SUMPRODUCT(("CT_CWODETH"=[1]OUT_SyntheticFuels!$C$4:$C$1000)*1,("Var_cap"=[1]OUT_SyntheticFuels!$B$4:$B$1000)*1,[1]OUT_SyntheticFuels!I$4:I$1000)</f>
        <v>6.3563969406120035E-5</v>
      </c>
      <c r="K2031" s="7" cm="1">
        <f t="array" ref="K2031">SUMPRODUCT(("CT_CWODETH"=[1]OUT_SyntheticFuels!$C$4:$C$1000)*1,("Var_cap"=[1]OUT_SyntheticFuels!$B$4:$B$1000)*1,[1]OUT_SyntheticFuels!J$4:J$1000)</f>
        <v>2.7846275603583914E-5</v>
      </c>
    </row>
    <row r="2032" spans="2:11" x14ac:dyDescent="0.35">
      <c r="B2032" s="5" t="str">
        <f t="shared" si="1249"/>
        <v>SPS3</v>
      </c>
      <c r="C2032" s="5" t="str">
        <f t="shared" si="1289"/>
        <v>CH</v>
      </c>
      <c r="D2032" t="s">
        <v>2169</v>
      </c>
      <c r="E2032" t="s">
        <v>2157</v>
      </c>
      <c r="F2032" s="7" cm="1">
        <f t="array" ref="F2032">SUMPRODUCT(("CT_CWODETHCCS"=[1]OUT_SyntheticFuels!$C$4:$C$1000)*1,("Var_cap"=[1]OUT_SyntheticFuels!$B$4:$B$1000)*1,[1]OUT_SyntheticFuels!E$4:E$1000)</f>
        <v>0</v>
      </c>
      <c r="G2032" s="7" cm="1">
        <f t="array" ref="G2032">SUMPRODUCT(("CT_CWODETHCCS"=[1]OUT_SyntheticFuels!$C$4:$C$1000)*1,("Var_cap"=[1]OUT_SyntheticFuels!$B$4:$B$1000)*1,[1]OUT_SyntheticFuels!F$4:F$1000)</f>
        <v>0</v>
      </c>
      <c r="H2032" s="7" cm="1">
        <f t="array" ref="H2032">SUMPRODUCT(("CT_CWODETHCCS"=[1]OUT_SyntheticFuels!$C$4:$C$1000)*1,("Var_cap"=[1]OUT_SyntheticFuels!$B$4:$B$1000)*1,[1]OUT_SyntheticFuels!G$4:G$1000)</f>
        <v>0</v>
      </c>
      <c r="I2032" s="7" cm="1">
        <f t="array" ref="I2032">SUMPRODUCT(("CT_CWODETHCCS"=[1]OUT_SyntheticFuels!$C$4:$C$1000)*1,("Var_cap"=[1]OUT_SyntheticFuels!$B$4:$B$1000)*1,[1]OUT_SyntheticFuels!H$4:H$1000)</f>
        <v>0</v>
      </c>
      <c r="J2032" s="7" cm="1">
        <f t="array" ref="J2032">SUMPRODUCT(("CT_CWODETHCCS"=[1]OUT_SyntheticFuels!$C$4:$C$1000)*1,("Var_cap"=[1]OUT_SyntheticFuels!$B$4:$B$1000)*1,[1]OUT_SyntheticFuels!I$4:I$1000)</f>
        <v>2.1671971266766799E-5</v>
      </c>
      <c r="K2032" s="7" cm="1">
        <f t="array" ref="K2032">SUMPRODUCT(("CT_CWODETHCCS"=[1]OUT_SyntheticFuels!$C$4:$C$1000)*1,("Var_cap"=[1]OUT_SyntheticFuels!$B$4:$B$1000)*1,[1]OUT_SyntheticFuels!J$4:J$1000)</f>
        <v>2.2059313781132499E-5</v>
      </c>
    </row>
    <row r="2033" spans="2:11" x14ac:dyDescent="0.35">
      <c r="B2033" s="5" t="str">
        <f t="shared" si="1249"/>
        <v>SPS3</v>
      </c>
      <c r="C2033" s="5" t="str">
        <f t="shared" si="1289"/>
        <v>CH</v>
      </c>
      <c r="D2033" t="s">
        <v>2162</v>
      </c>
      <c r="E2033" t="s">
        <v>2157</v>
      </c>
      <c r="F2033" s="7" cm="1">
        <f t="array" ref="F2033">SUMPRODUCT(("SUP_MNRBIO"=[1]OUT_SyntheticFuels!$C$4:$C$1000)*1,("Var_cap"=[1]OUT_SyntheticFuels!$B$4:$B$1000)*1,[1]OUT_SyntheticFuels!E$4:E$1000)</f>
        <v>5.2070904039103E-2</v>
      </c>
      <c r="G2033" s="7" cm="1">
        <f t="array" ref="G2033">SUMPRODUCT(("SUP_MNRBIO"=[1]OUT_SyntheticFuels!$C$4:$C$1000)*1,("Var_cap"=[1]OUT_SyntheticFuels!$B$4:$B$1000)*1,[1]OUT_SyntheticFuels!F$4:F$1000)</f>
        <v>0.16240365308642657</v>
      </c>
      <c r="H2033" s="7" cm="1">
        <f t="array" ref="H2033">SUMPRODUCT(("SUP_MNRBIO"=[1]OUT_SyntheticFuels!$C$4:$C$1000)*1,("Var_cap"=[1]OUT_SyntheticFuels!$B$4:$B$1000)*1,[1]OUT_SyntheticFuels!G$4:G$1000)</f>
        <v>0.16240612608578919</v>
      </c>
      <c r="I2033" s="7" cm="1">
        <f t="array" ref="I2033">SUMPRODUCT(("SUP_MNRBIO"=[1]OUT_SyntheticFuels!$C$4:$C$1000)*1,("Var_cap"=[1]OUT_SyntheticFuels!$B$4:$B$1000)*1,[1]OUT_SyntheticFuels!H$4:H$1000)</f>
        <v>0.16240598502306894</v>
      </c>
      <c r="J2033" s="7" cm="1">
        <f t="array" ref="J2033">SUMPRODUCT(("SUP_MNRBIO"=[1]OUT_SyntheticFuels!$C$4:$C$1000)*1,("Var_cap"=[1]OUT_SyntheticFuels!$B$4:$B$1000)*1,[1]OUT_SyntheticFuels!I$4:I$1000)</f>
        <v>0.22482320396750391</v>
      </c>
      <c r="K2033" s="7" cm="1">
        <f t="array" ref="K2033">SUMPRODUCT(("SUP_MNRBIO"=[1]OUT_SyntheticFuels!$C$4:$C$1000)*1,("Var_cap"=[1]OUT_SyntheticFuels!$B$4:$B$1000)*1,[1]OUT_SyntheticFuels!J$4:J$1000)</f>
        <v>0.3496568522630748</v>
      </c>
    </row>
    <row r="2034" spans="2:11" x14ac:dyDescent="0.35">
      <c r="B2034" s="5" t="str">
        <f t="shared" si="1249"/>
        <v>SPS3</v>
      </c>
      <c r="C2034" s="5" t="str">
        <f t="shared" si="1289"/>
        <v>CH</v>
      </c>
      <c r="D2034" t="s">
        <v>2158</v>
      </c>
      <c r="E2034" t="s">
        <v>2157</v>
      </c>
      <c r="F2034" s="7" cm="1">
        <f t="array" ref="F2034">SUMPRODUCT(("SUP_WSTBIO"=[1]OUT_SyntheticFuels!$C$4:$C$1000)*1,("Var_cap"=[1]OUT_SyntheticFuels!$B$4:$B$1000)*1,[1]OUT_SyntheticFuels!E$4:E$1000)</f>
        <v>0.21268082357873219</v>
      </c>
      <c r="G2034" s="7" cm="1">
        <f t="array" ref="G2034">SUMPRODUCT(("SUP_WSTBIO"=[1]OUT_SyntheticFuels!$C$4:$C$1000)*1,("Var_cap"=[1]OUT_SyntheticFuels!$B$4:$B$1000)*1,[1]OUT_SyntheticFuels!F$4:F$1000)</f>
        <v>0.23566838664813108</v>
      </c>
      <c r="H2034" s="7" cm="1">
        <f t="array" ref="H2034">SUMPRODUCT(("SUP_WSTBIO"=[1]OUT_SyntheticFuels!$C$4:$C$1000)*1,("Var_cap"=[1]OUT_SyntheticFuels!$B$4:$B$1000)*1,[1]OUT_SyntheticFuels!G$4:G$1000)</f>
        <v>0.22777811381431914</v>
      </c>
      <c r="I2034" s="7" cm="1">
        <f t="array" ref="I2034">SUMPRODUCT(("SUP_WSTBIO"=[1]OUT_SyntheticFuels!$C$4:$C$1000)*1,("Var_cap"=[1]OUT_SyntheticFuels!$B$4:$B$1000)*1,[1]OUT_SyntheticFuels!H$4:H$1000)</f>
        <v>0.23493213584258096</v>
      </c>
      <c r="J2034" s="7" cm="1">
        <f t="array" ref="J2034">SUMPRODUCT(("SUP_WSTBIO"=[1]OUT_SyntheticFuels!$C$4:$C$1000)*1,("Var_cap"=[1]OUT_SyntheticFuels!$B$4:$B$1000)*1,[1]OUT_SyntheticFuels!I$4:I$1000)</f>
        <v>3.1906040480309816E-3</v>
      </c>
      <c r="K2034" s="7" cm="1">
        <f t="array" ref="K2034">SUMPRODUCT(("SUP_WSTBIO"=[1]OUT_SyntheticFuels!$C$4:$C$1000)*1,("Var_cap"=[1]OUT_SyntheticFuels!$B$4:$B$1000)*1,[1]OUT_SyntheticFuels!J$4:J$1000)</f>
        <v>1.1139591223999212E-4</v>
      </c>
    </row>
    <row r="2035" spans="2:11" x14ac:dyDescent="0.35">
      <c r="B2035" s="5" t="str">
        <f t="shared" si="1249"/>
        <v>SPS3</v>
      </c>
      <c r="C2035" s="5" t="str">
        <f t="shared" si="1289"/>
        <v>CH</v>
      </c>
      <c r="D2035" t="s">
        <v>2170</v>
      </c>
      <c r="E2035" t="s">
        <v>2157</v>
      </c>
      <c r="F2035" s="7" cm="1">
        <f t="array" ref="F2035">SUMPRODUCT(("SUP_WSTBIOCCS"=[1]OUT_SyntheticFuels!$C$4:$C$1000)*1,("Var_cap"=[1]OUT_SyntheticFuels!$B$4:$B$1000)*1,[1]OUT_SyntheticFuels!E$4:E$1000)</f>
        <v>0</v>
      </c>
      <c r="G2035" s="7" cm="1">
        <f t="array" ref="G2035">SUMPRODUCT(("SUP_WSTBIOCCS"=[1]OUT_SyntheticFuels!$C$4:$C$1000)*1,("Var_cap"=[1]OUT_SyntheticFuels!$B$4:$B$1000)*1,[1]OUT_SyntheticFuels!F$4:F$1000)</f>
        <v>0</v>
      </c>
      <c r="H2035" s="7" cm="1">
        <f t="array" ref="H2035">SUMPRODUCT(("SUP_WSTBIOCCS"=[1]OUT_SyntheticFuels!$C$4:$C$1000)*1,("Var_cap"=[1]OUT_SyntheticFuels!$B$4:$B$1000)*1,[1]OUT_SyntheticFuels!G$4:G$1000)</f>
        <v>0</v>
      </c>
      <c r="I2035" s="7" cm="1">
        <f t="array" ref="I2035">SUMPRODUCT(("SUP_WSTBIOCCS"=[1]OUT_SyntheticFuels!$C$4:$C$1000)*1,("Var_cap"=[1]OUT_SyntheticFuels!$B$4:$B$1000)*1,[1]OUT_SyntheticFuels!H$4:H$1000)</f>
        <v>0</v>
      </c>
      <c r="J2035" s="7" cm="1">
        <f t="array" ref="J2035">SUMPRODUCT(("SUP_WSTBIOCCS"=[1]OUT_SyntheticFuels!$C$4:$C$1000)*1,("Var_cap"=[1]OUT_SyntheticFuels!$B$4:$B$1000)*1,[1]OUT_SyntheticFuels!I$4:I$1000)</f>
        <v>0</v>
      </c>
      <c r="K2035" s="7" cm="1">
        <f t="array" ref="K2035">SUMPRODUCT(("SUP_WSTBIOCCS"=[1]OUT_SyntheticFuels!$C$4:$C$1000)*1,("Var_cap"=[1]OUT_SyntheticFuels!$B$4:$B$1000)*1,[1]OUT_SyntheticFuels!J$4:J$1000)</f>
        <v>0</v>
      </c>
    </row>
    <row r="2036" spans="2:11" x14ac:dyDescent="0.35">
      <c r="B2036" s="5" t="str">
        <f t="shared" ref="B2036:B2044" si="1290">B2035</f>
        <v>SPS3</v>
      </c>
      <c r="C2036" s="5" t="str">
        <f t="shared" si="1289"/>
        <v>CH</v>
      </c>
      <c r="D2036" t="s">
        <v>2171</v>
      </c>
      <c r="E2036" t="s">
        <v>2157</v>
      </c>
      <c r="F2036" s="7" cm="1">
        <f t="array" ref="F2036">SUMPRODUCT(("SUP_WSTHTGBIO"=[1]OUT_SyntheticFuels!$C$4:$C$1000)*1,("Var_cap"=[1]OUT_SyntheticFuels!$B$4:$B$1000)*1,[1]OUT_SyntheticFuels!E$4:E$1000)</f>
        <v>0</v>
      </c>
      <c r="G2036" s="7" cm="1">
        <f t="array" ref="G2036">SUMPRODUCT(("SUP_WSTHTGBIO"=[1]OUT_SyntheticFuels!$C$4:$C$1000)*1,("Var_cap"=[1]OUT_SyntheticFuels!$B$4:$B$1000)*1,[1]OUT_SyntheticFuels!F$4:F$1000)</f>
        <v>0</v>
      </c>
      <c r="H2036" s="7" cm="1">
        <f t="array" ref="H2036">SUMPRODUCT(("SUP_WSTHTGBIO"=[1]OUT_SyntheticFuels!$C$4:$C$1000)*1,("Var_cap"=[1]OUT_SyntheticFuels!$B$4:$B$1000)*1,[1]OUT_SyntheticFuels!G$4:G$1000)</f>
        <v>0</v>
      </c>
      <c r="I2036" s="7" cm="1">
        <f t="array" ref="I2036">SUMPRODUCT(("SUP_WSTHTGBIO"=[1]OUT_SyntheticFuels!$C$4:$C$1000)*1,("Var_cap"=[1]OUT_SyntheticFuels!$B$4:$B$1000)*1,[1]OUT_SyntheticFuels!H$4:H$1000)</f>
        <v>0</v>
      </c>
      <c r="J2036" s="7" cm="1">
        <f t="array" ref="J2036">SUMPRODUCT(("SUP_WSTHTGBIO"=[1]OUT_SyntheticFuels!$C$4:$C$1000)*1,("Var_cap"=[1]OUT_SyntheticFuels!$B$4:$B$1000)*1,[1]OUT_SyntheticFuels!I$4:I$1000)</f>
        <v>0.373140629661183</v>
      </c>
      <c r="K2036" s="7" cm="1">
        <f t="array" ref="K2036">SUMPRODUCT(("SUP_WSTHTGBIO"=[1]OUT_SyntheticFuels!$C$4:$C$1000)*1,("Var_cap"=[1]OUT_SyntheticFuels!$B$4:$B$1000)*1,[1]OUT_SyntheticFuels!J$4:J$1000)</f>
        <v>0.43689494312383104</v>
      </c>
    </row>
    <row r="2037" spans="2:11" x14ac:dyDescent="0.35">
      <c r="B2037" s="5" t="str">
        <f t="shared" si="1290"/>
        <v>SPS3</v>
      </c>
      <c r="C2037" s="5" t="str">
        <f t="shared" si="1289"/>
        <v>CH</v>
      </c>
      <c r="D2037" t="s">
        <v>2172</v>
      </c>
      <c r="E2037" t="s">
        <v>2157</v>
      </c>
      <c r="F2037" s="7" cm="1">
        <f t="array" ref="F2037">SUMPRODUCT(("SUP_WSTHTGBIOCCS"=[1]OUT_SyntheticFuels!$C$4:$C$1000)*1,("Var_cap"=[1]OUT_SyntheticFuels!$B$4:$B$1000)*1,[1]OUT_SyntheticFuels!E$4:E$1000)</f>
        <v>0</v>
      </c>
      <c r="G2037" s="7" cm="1">
        <f t="array" ref="G2037">SUMPRODUCT(("SUP_WSTHTGBIOCCS"=[1]OUT_SyntheticFuels!$C$4:$C$1000)*1,("Var_cap"=[1]OUT_SyntheticFuels!$B$4:$B$1000)*1,[1]OUT_SyntheticFuels!F$4:F$1000)</f>
        <v>0</v>
      </c>
      <c r="H2037" s="7" cm="1">
        <f t="array" ref="H2037">SUMPRODUCT(("SUP_WSTHTGBIOCCS"=[1]OUT_SyntheticFuels!$C$4:$C$1000)*1,("Var_cap"=[1]OUT_SyntheticFuels!$B$4:$B$1000)*1,[1]OUT_SyntheticFuels!G$4:G$1000)</f>
        <v>0</v>
      </c>
      <c r="I2037" s="7" cm="1">
        <f t="array" ref="I2037">SUMPRODUCT(("SUP_WSTHTGBIOCCS"=[1]OUT_SyntheticFuels!$C$4:$C$1000)*1,("Var_cap"=[1]OUT_SyntheticFuels!$B$4:$B$1000)*1,[1]OUT_SyntheticFuels!H$4:H$1000)</f>
        <v>0</v>
      </c>
      <c r="J2037" s="7" cm="1">
        <f t="array" ref="J2037">SUMPRODUCT(("SUP_WSTHTGBIOCCS"=[1]OUT_SyntheticFuels!$C$4:$C$1000)*1,("Var_cap"=[1]OUT_SyntheticFuels!$B$4:$B$1000)*1,[1]OUT_SyntheticFuels!I$4:I$1000)</f>
        <v>1.3195806094469E-5</v>
      </c>
      <c r="K2037" s="7" cm="1">
        <f t="array" ref="K2037">SUMPRODUCT(("SUP_WSTHTGBIOCCS"=[1]OUT_SyntheticFuels!$C$4:$C$1000)*1,("Var_cap"=[1]OUT_SyntheticFuels!$B$4:$B$1000)*1,[1]OUT_SyntheticFuels!J$4:J$1000)</f>
        <v>3.92918490131078E-3</v>
      </c>
    </row>
    <row r="2038" spans="2:11" x14ac:dyDescent="0.35">
      <c r="B2038" s="5" t="str">
        <f t="shared" si="1290"/>
        <v>SPS3</v>
      </c>
      <c r="C2038" s="5" t="str">
        <f t="shared" si="1289"/>
        <v>CH</v>
      </c>
      <c r="D2038" t="s">
        <v>2173</v>
      </c>
      <c r="E2038" t="s">
        <v>2157</v>
      </c>
      <c r="F2038" s="7" cm="1">
        <f t="array" ref="F2038">SUMPRODUCT(("SUP_WODBIO"=[1]OUT_SyntheticFuels!$C$4:$C$1000)*1,("Var_cap"=[1]OUT_SyntheticFuels!$B$4:$B$1000)*1,[1]OUT_SyntheticFuels!E$4:E$1000)</f>
        <v>1.4390455458596599E-6</v>
      </c>
      <c r="G2038" s="7" cm="1">
        <f t="array" ref="G2038">SUMPRODUCT(("SUP_WODBIO"=[1]OUT_SyntheticFuels!$C$4:$C$1000)*1,("Var_cap"=[1]OUT_SyntheticFuels!$B$4:$B$1000)*1,[1]OUT_SyntheticFuels!F$4:F$1000)</f>
        <v>5.1983751239296899E-5</v>
      </c>
      <c r="H2038" s="7" cm="1">
        <f t="array" ref="H2038">SUMPRODUCT(("SUP_WODBIO"=[1]OUT_SyntheticFuels!$C$4:$C$1000)*1,("Var_cap"=[1]OUT_SyntheticFuels!$B$4:$B$1000)*1,[1]OUT_SyntheticFuels!G$4:G$1000)</f>
        <v>9.4633368849814068E-5</v>
      </c>
      <c r="I2038" s="7" cm="1">
        <f t="array" ref="I2038">SUMPRODUCT(("SUP_WODBIO"=[1]OUT_SyntheticFuels!$C$4:$C$1000)*1,("Var_cap"=[1]OUT_SyntheticFuels!$B$4:$B$1000)*1,[1]OUT_SyntheticFuels!H$4:H$1000)</f>
        <v>2.2606551847142444E-4</v>
      </c>
      <c r="J2038" s="7" cm="1">
        <f t="array" ref="J2038">SUMPRODUCT(("SUP_WODBIO"=[1]OUT_SyntheticFuels!$C$4:$C$1000)*1,("Var_cap"=[1]OUT_SyntheticFuels!$B$4:$B$1000)*1,[1]OUT_SyntheticFuels!I$4:I$1000)</f>
        <v>0.25504664137029665</v>
      </c>
      <c r="K2038" s="7" cm="1">
        <f t="array" ref="K2038">SUMPRODUCT(("SUP_WODBIO"=[1]OUT_SyntheticFuels!$C$4:$C$1000)*1,("Var_cap"=[1]OUT_SyntheticFuels!$B$4:$B$1000)*1,[1]OUT_SyntheticFuels!J$4:J$1000)</f>
        <v>0.25388990160803337</v>
      </c>
    </row>
    <row r="2039" spans="2:11" x14ac:dyDescent="0.35">
      <c r="B2039" s="5" t="str">
        <f t="shared" si="1290"/>
        <v>SPS3</v>
      </c>
      <c r="C2039" s="5" t="str">
        <f t="shared" si="1289"/>
        <v>CH</v>
      </c>
      <c r="D2039" t="s">
        <v>2174</v>
      </c>
      <c r="E2039" t="s">
        <v>2157</v>
      </c>
      <c r="F2039" s="7" cm="1">
        <f t="array" ref="F2039">SUMPRODUCT(("SUP_WODBIOCCS"=[1]OUT_SyntheticFuels!$C$4:$C$1000)*1,("Var_cap"=[1]OUT_SyntheticFuels!$B$4:$B$1000)*1,[1]OUT_SyntheticFuels!E$4:E$1000)</f>
        <v>0</v>
      </c>
      <c r="G2039" s="7" cm="1">
        <f t="array" ref="G2039">SUMPRODUCT(("SUP_WODBIOCCS"=[1]OUT_SyntheticFuels!$C$4:$C$1000)*1,("Var_cap"=[1]OUT_SyntheticFuels!$B$4:$B$1000)*1,[1]OUT_SyntheticFuels!F$4:F$1000)</f>
        <v>0</v>
      </c>
      <c r="H2039" s="7" cm="1">
        <f t="array" ref="H2039">SUMPRODUCT(("SUP_WODBIOCCS"=[1]OUT_SyntheticFuels!$C$4:$C$1000)*1,("Var_cap"=[1]OUT_SyntheticFuels!$B$4:$B$1000)*1,[1]OUT_SyntheticFuels!G$4:G$1000)</f>
        <v>0</v>
      </c>
      <c r="I2039" s="7" cm="1">
        <f t="array" ref="I2039">SUMPRODUCT(("SUP_WODBIOCCS"=[1]OUT_SyntheticFuels!$C$4:$C$1000)*1,("Var_cap"=[1]OUT_SyntheticFuels!$B$4:$B$1000)*1,[1]OUT_SyntheticFuels!H$4:H$1000)</f>
        <v>0</v>
      </c>
      <c r="J2039" s="7" cm="1">
        <f t="array" ref="J2039">SUMPRODUCT(("SUP_WODBIOCCS"=[1]OUT_SyntheticFuels!$C$4:$C$1000)*1,("Var_cap"=[1]OUT_SyntheticFuels!$B$4:$B$1000)*1,[1]OUT_SyntheticFuels!I$4:I$1000)</f>
        <v>3.4215694243877898E-5</v>
      </c>
      <c r="K2039" s="7" cm="1">
        <f t="array" ref="K2039">SUMPRODUCT(("SUP_WODBIOCCS"=[1]OUT_SyntheticFuels!$C$4:$C$1000)*1,("Var_cap"=[1]OUT_SyntheticFuels!$B$4:$B$1000)*1,[1]OUT_SyntheticFuels!J$4:J$1000)</f>
        <v>1.7395441534584E-2</v>
      </c>
    </row>
    <row r="2040" spans="2:11" x14ac:dyDescent="0.35">
      <c r="B2040" s="5" t="str">
        <f t="shared" si="1290"/>
        <v>SPS3</v>
      </c>
      <c r="C2040" s="5" t="str">
        <f t="shared" si="1289"/>
        <v>CH</v>
      </c>
      <c r="D2040" t="s">
        <v>2175</v>
      </c>
      <c r="E2040" t="s">
        <v>2157</v>
      </c>
      <c r="F2040" s="7" cm="1">
        <f t="array" ref="F2040">SUMPRODUCT(("SUP_BIONGA"=[1]OUT_SyntheticFuels!$C$4:$C$1000)*1,("Var_cap"=[1]OUT_SyntheticFuels!$B$4:$B$1000)*1,[1]OUT_SyntheticFuels!E$4:E$1000)</f>
        <v>4.2356727995823677E-2</v>
      </c>
      <c r="G2040" s="7" cm="1">
        <f t="array" ref="G2040">SUMPRODUCT(("SUP_BIONGA"=[1]OUT_SyntheticFuels!$C$4:$C$1000)*1,("Var_cap"=[1]OUT_SyntheticFuels!$B$4:$B$1000)*1,[1]OUT_SyntheticFuels!F$4:F$1000)</f>
        <v>0.14376840774647723</v>
      </c>
      <c r="H2040" s="7" cm="1">
        <f t="array" ref="H2040">SUMPRODUCT(("SUP_BIONGA"=[1]OUT_SyntheticFuels!$C$4:$C$1000)*1,("Var_cap"=[1]OUT_SyntheticFuels!$B$4:$B$1000)*1,[1]OUT_SyntheticFuels!G$4:G$1000)</f>
        <v>0.14377270556006344</v>
      </c>
      <c r="I2040" s="7" cm="1">
        <f t="array" ref="I2040">SUMPRODUCT(("SUP_BIONGA"=[1]OUT_SyntheticFuels!$C$4:$C$1000)*1,("Var_cap"=[1]OUT_SyntheticFuels!$B$4:$B$1000)*1,[1]OUT_SyntheticFuels!H$4:H$1000)</f>
        <v>0.1701843147707833</v>
      </c>
      <c r="J2040" s="7" cm="1">
        <f t="array" ref="J2040">SUMPRODUCT(("SUP_BIONGA"=[1]OUT_SyntheticFuels!$C$4:$C$1000)*1,("Var_cap"=[1]OUT_SyntheticFuels!$B$4:$B$1000)*1,[1]OUT_SyntheticFuels!I$4:I$1000)</f>
        <v>0.37798675769531942</v>
      </c>
      <c r="K2040" s="7" cm="1">
        <f t="array" ref="K2040">SUMPRODUCT(("SUP_BIONGA"=[1]OUT_SyntheticFuels!$C$4:$C$1000)*1,("Var_cap"=[1]OUT_SyntheticFuels!$B$4:$B$1000)*1,[1]OUT_SyntheticFuels!J$4:J$1000)</f>
        <v>0.4636302423706169</v>
      </c>
    </row>
    <row r="2041" spans="2:11" x14ac:dyDescent="0.35">
      <c r="B2041" s="5" t="str">
        <f t="shared" si="1290"/>
        <v>SPS3</v>
      </c>
      <c r="C2041" s="5" t="str">
        <f t="shared" si="1289"/>
        <v>CH</v>
      </c>
      <c r="D2041" t="s">
        <v>2176</v>
      </c>
      <c r="E2041" t="s">
        <v>2157</v>
      </c>
      <c r="F2041" s="7" cm="1">
        <f t="array" ref="F2041">SUMPRODUCT(("CT_CWODPLT"=[1]OUT_SyntheticFuels!$C$4:$C$1000)*1,("Var_cap"=[1]OUT_SyntheticFuels!$B$4:$B$1000)*1,[1]OUT_SyntheticFuels!E$4:E$1000)</f>
        <v>0.3562741084420894</v>
      </c>
      <c r="G2041" s="7" cm="1">
        <f t="array" ref="G2041">SUMPRODUCT(("CT_CWODPLT"=[1]OUT_SyntheticFuels!$C$4:$C$1000)*1,("Var_cap"=[1]OUT_SyntheticFuels!$B$4:$B$1000)*1,[1]OUT_SyntheticFuels!F$4:F$1000)</f>
        <v>0.40994349165909538</v>
      </c>
      <c r="H2041" s="7" cm="1">
        <f t="array" ref="H2041">SUMPRODUCT(("CT_CWODPLT"=[1]OUT_SyntheticFuels!$C$4:$C$1000)*1,("Var_cap"=[1]OUT_SyntheticFuels!$B$4:$B$1000)*1,[1]OUT_SyntheticFuels!G$4:G$1000)</f>
        <v>6.1751059720226986E-2</v>
      </c>
      <c r="I2041" s="7" cm="1">
        <f t="array" ref="I2041">SUMPRODUCT(("CT_CWODPLT"=[1]OUT_SyntheticFuels!$C$4:$C$1000)*1,("Var_cap"=[1]OUT_SyntheticFuels!$B$4:$B$1000)*1,[1]OUT_SyntheticFuels!H$4:H$1000)</f>
        <v>6.0686224671828048E-2</v>
      </c>
      <c r="J2041" s="7" cm="1">
        <f t="array" ref="J2041">SUMPRODUCT(("CT_CWODPLT"=[1]OUT_SyntheticFuels!$C$4:$C$1000)*1,("Var_cap"=[1]OUT_SyntheticFuels!$B$4:$B$1000)*1,[1]OUT_SyntheticFuels!I$4:I$1000)</f>
        <v>0.18667699395645349</v>
      </c>
      <c r="K2041" s="7" cm="1">
        <f t="array" ref="K2041">SUMPRODUCT(("CT_CWODPLT"=[1]OUT_SyntheticFuels!$C$4:$C$1000)*1,("Var_cap"=[1]OUT_SyntheticFuels!$B$4:$B$1000)*1,[1]OUT_SyntheticFuels!J$4:J$1000)</f>
        <v>0.22558694779883601</v>
      </c>
    </row>
    <row r="2042" spans="2:11" x14ac:dyDescent="0.35">
      <c r="B2042" s="5" t="str">
        <f t="shared" si="1290"/>
        <v>SPS3</v>
      </c>
      <c r="C2042" s="5" t="str">
        <f t="shared" si="1289"/>
        <v>CH</v>
      </c>
      <c r="D2042" t="s">
        <v>2177</v>
      </c>
      <c r="E2042" t="s">
        <v>2157</v>
      </c>
      <c r="F2042" s="7" cm="1">
        <f t="array" ref="F2042">SUMPRODUCT(("SUP_H2NGA"=[1]OUT_SyntheticFuels!$C$4:$C$1000)*1,("Var_cap"=[1]OUT_SyntheticFuels!$B$4:$B$1000)*1,[1]OUT_SyntheticFuels!E$4:E$1000)</f>
        <v>0</v>
      </c>
      <c r="G2042" s="7" cm="1">
        <f t="array" ref="G2042">SUMPRODUCT(("SUP_H2NGA"=[1]OUT_SyntheticFuels!$C$4:$C$1000)*1,("Var_cap"=[1]OUT_SyntheticFuels!$B$4:$B$1000)*1,[1]OUT_SyntheticFuels!F$4:F$1000)</f>
        <v>0</v>
      </c>
      <c r="H2042" s="7" cm="1">
        <f t="array" ref="H2042">SUMPRODUCT(("SUP_H2NGA"=[1]OUT_SyntheticFuels!$C$4:$C$1000)*1,("Var_cap"=[1]OUT_SyntheticFuels!$B$4:$B$1000)*1,[1]OUT_SyntheticFuels!G$4:G$1000)</f>
        <v>0</v>
      </c>
      <c r="I2042" s="7" cm="1">
        <f t="array" ref="I2042">SUMPRODUCT(("SUP_H2NGA"=[1]OUT_SyntheticFuels!$C$4:$C$1000)*1,("Var_cap"=[1]OUT_SyntheticFuels!$B$4:$B$1000)*1,[1]OUT_SyntheticFuels!H$4:H$1000)</f>
        <v>1.4436994448577301E-6</v>
      </c>
      <c r="J2042" s="7" cm="1">
        <f t="array" ref="J2042">SUMPRODUCT(("SUP_H2NGA"=[1]OUT_SyntheticFuels!$C$4:$C$1000)*1,("Var_cap"=[1]OUT_SyntheticFuels!$B$4:$B$1000)*1,[1]OUT_SyntheticFuels!I$4:I$1000)</f>
        <v>0.14777621365067251</v>
      </c>
      <c r="K2042" s="7" cm="1">
        <f t="array" ref="K2042">SUMPRODUCT(("SUP_H2NGA"=[1]OUT_SyntheticFuels!$C$4:$C$1000)*1,("Var_cap"=[1]OUT_SyntheticFuels!$B$4:$B$1000)*1,[1]OUT_SyntheticFuels!J$4:J$1000)</f>
        <v>0.1477702801401394</v>
      </c>
    </row>
    <row r="2043" spans="2:11" x14ac:dyDescent="0.35">
      <c r="B2043" s="5" t="str">
        <f t="shared" si="1290"/>
        <v>SPS3</v>
      </c>
      <c r="C2043" s="5" t="str">
        <f t="shared" si="1289"/>
        <v>CH</v>
      </c>
      <c r="D2043" t="s">
        <v>2178</v>
      </c>
      <c r="E2043" t="s">
        <v>2157</v>
      </c>
      <c r="F2043" s="7" cm="1">
        <f t="array" ref="F2043">SUMPRODUCT(("SUP_H2DSL"=[1]OUT_SyntheticFuels!$C$4:$C$1000)*1,("Var_cap"=[1]OUT_SyntheticFuels!$B$4:$B$1000)*1,[1]OUT_SyntheticFuels!E$4:E$1000)</f>
        <v>0</v>
      </c>
      <c r="G2043" s="7" cm="1">
        <f t="array" ref="G2043">SUMPRODUCT(("SUP_H2DSL"=[1]OUT_SyntheticFuels!$C$4:$C$1000)*1,("Var_cap"=[1]OUT_SyntheticFuels!$B$4:$B$1000)*1,[1]OUT_SyntheticFuels!F$4:F$1000)</f>
        <v>0</v>
      </c>
      <c r="H2043" s="7" cm="1">
        <f t="array" ref="H2043">SUMPRODUCT(("SUP_H2DSL"=[1]OUT_SyntheticFuels!$C$4:$C$1000)*1,("Var_cap"=[1]OUT_SyntheticFuels!$B$4:$B$1000)*1,[1]OUT_SyntheticFuels!G$4:G$1000)</f>
        <v>0</v>
      </c>
      <c r="I2043" s="7" cm="1">
        <f t="array" ref="I2043">SUMPRODUCT(("SUP_H2DSL"=[1]OUT_SyntheticFuels!$C$4:$C$1000)*1,("Var_cap"=[1]OUT_SyntheticFuels!$B$4:$B$1000)*1,[1]OUT_SyntheticFuels!H$4:H$1000)</f>
        <v>3.2692834308237599E-6</v>
      </c>
      <c r="J2043" s="7" cm="1">
        <f t="array" ref="J2043">SUMPRODUCT(("SUP_H2DSL"=[1]OUT_SyntheticFuels!$C$4:$C$1000)*1,("Var_cap"=[1]OUT_SyntheticFuels!$B$4:$B$1000)*1,[1]OUT_SyntheticFuels!I$4:I$1000)</f>
        <v>4.9508800791864399E-3</v>
      </c>
      <c r="K2043" s="7" cm="1">
        <f t="array" ref="K2043">SUMPRODUCT(("SUP_H2DSL"=[1]OUT_SyntheticFuels!$C$4:$C$1000)*1,("Var_cap"=[1]OUT_SyntheticFuels!$B$4:$B$1000)*1,[1]OUT_SyntheticFuels!J$4:J$1000)</f>
        <v>0.60425683933708363</v>
      </c>
    </row>
    <row r="2044" spans="2:11" x14ac:dyDescent="0.35">
      <c r="B2044" s="5" t="str">
        <f t="shared" si="1290"/>
        <v>SPS3</v>
      </c>
      <c r="C2044" s="5" t="str">
        <f t="shared" si="1289"/>
        <v>CH</v>
      </c>
      <c r="D2044" t="s">
        <v>2161</v>
      </c>
      <c r="E2044" t="s">
        <v>2157</v>
      </c>
      <c r="F2044" s="7" cm="1">
        <f t="array" ref="F2044">SUMPRODUCT(("SUP_H2GSL"=[1]OUT_SyntheticFuels!$C$4:$C$1000)*1,("Var_cap"=[1]OUT_SyntheticFuels!$B$4:$B$1000)*1,[1]OUT_SyntheticFuels!E$4:E$1000)</f>
        <v>0</v>
      </c>
      <c r="G2044" s="7" cm="1">
        <f t="array" ref="G2044">SUMPRODUCT(("SUP_H2GSL"=[1]OUT_SyntheticFuels!$C$4:$C$1000)*1,("Var_cap"=[1]OUT_SyntheticFuels!$B$4:$B$1000)*1,[1]OUT_SyntheticFuels!F$4:F$1000)</f>
        <v>0</v>
      </c>
      <c r="H2044" s="7" cm="1">
        <f t="array" ref="H2044">SUMPRODUCT(("SUP_H2GSL"=[1]OUT_SyntheticFuels!$C$4:$C$1000)*1,("Var_cap"=[1]OUT_SyntheticFuels!$B$4:$B$1000)*1,[1]OUT_SyntheticFuels!G$4:G$1000)</f>
        <v>0</v>
      </c>
      <c r="I2044" s="7" cm="1">
        <f t="array" ref="I2044">SUMPRODUCT(("SUP_H2GSL"=[1]OUT_SyntheticFuels!$C$4:$C$1000)*1,("Var_cap"=[1]OUT_SyntheticFuels!$B$4:$B$1000)*1,[1]OUT_SyntheticFuels!H$4:H$1000)</f>
        <v>5.4441547980824197E-6</v>
      </c>
      <c r="J2044" s="7" cm="1">
        <f t="array" ref="J2044">SUMPRODUCT(("SUP_H2GSL"=[1]OUT_SyntheticFuels!$C$4:$C$1000)*1,("Var_cap"=[1]OUT_SyntheticFuels!$B$4:$B$1000)*1,[1]OUT_SyntheticFuels!I$4:I$1000)</f>
        <v>0.17432824057508609</v>
      </c>
      <c r="K2044" s="7" cm="1">
        <f t="array" ref="K2044">SUMPRODUCT(("SUP_H2GSL"=[1]OUT_SyntheticFuels!$C$4:$C$1000)*1,("Var_cap"=[1]OUT_SyntheticFuels!$B$4:$B$1000)*1,[1]OUT_SyntheticFuels!J$4:J$1000)</f>
        <v>6.0475522432108006E-2</v>
      </c>
    </row>
    <row r="2045" spans="2:11" x14ac:dyDescent="0.35">
      <c r="B2045" s="9" t="str">
        <f>B2044</f>
        <v>SPS3</v>
      </c>
      <c r="C2045" s="2" t="str">
        <f>C2044</f>
        <v>CH</v>
      </c>
      <c r="D2045" s="2" t="s">
        <v>2180</v>
      </c>
      <c r="E2045" s="2" t="s">
        <v>1858</v>
      </c>
      <c r="F2045" s="3">
        <f t="shared" ref="F2045:K2045" si="1291">SUM(F2046,F2048,F2052,F2056,F2072,F2079,F2087,F2089,F2097,F2101,F2095)</f>
        <v>9.175913222717531E-3</v>
      </c>
      <c r="G2045" s="3">
        <f t="shared" si="1291"/>
        <v>0.1125011460410992</v>
      </c>
      <c r="H2045" s="3">
        <f t="shared" si="1291"/>
        <v>4.9145335557534651</v>
      </c>
      <c r="I2045" s="3">
        <f t="shared" si="1291"/>
        <v>0.62588014657615909</v>
      </c>
      <c r="J2045" s="3">
        <f t="shared" si="1291"/>
        <v>8.8319223611929729</v>
      </c>
      <c r="K2045" s="3">
        <f t="shared" si="1291"/>
        <v>21.447872047053558</v>
      </c>
    </row>
    <row r="2046" spans="2:11" x14ac:dyDescent="0.35">
      <c r="B2046" s="5" t="str">
        <f>B2045</f>
        <v>SPS3</v>
      </c>
      <c r="C2046" s="5" t="str">
        <f t="shared" ref="C2046:C2109" si="1292">C2045</f>
        <v>CH</v>
      </c>
      <c r="D2046" t="s">
        <v>2198</v>
      </c>
      <c r="E2046" t="str">
        <f t="shared" ref="E2046:K2096" si="1293">E2045</f>
        <v>GWe/yr.</v>
      </c>
      <c r="F2046" s="1">
        <f t="shared" ref="F2046:K2046" si="1294">+F2047</f>
        <v>0</v>
      </c>
      <c r="G2046" s="1">
        <f t="shared" si="1294"/>
        <v>0</v>
      </c>
      <c r="H2046" s="1">
        <f t="shared" si="1294"/>
        <v>0</v>
      </c>
      <c r="I2046" s="1">
        <f t="shared" si="1294"/>
        <v>0</v>
      </c>
      <c r="J2046" s="1">
        <f t="shared" si="1294"/>
        <v>0</v>
      </c>
      <c r="K2046" s="1">
        <f t="shared" si="1294"/>
        <v>0</v>
      </c>
    </row>
    <row r="2047" spans="2:11" x14ac:dyDescent="0.35">
      <c r="B2047" s="5" t="str">
        <f t="shared" ref="B2047:B2108" si="1295">B2046</f>
        <v>SPS3</v>
      </c>
      <c r="C2047" s="5" t="str">
        <f t="shared" si="1292"/>
        <v>CH</v>
      </c>
      <c r="D2047" t="s">
        <v>2199</v>
      </c>
      <c r="E2047" t="str">
        <f t="shared" si="1293"/>
        <v>GWe/yr.</v>
      </c>
      <c r="F2047" s="1">
        <f>'[1]Electricity and CHPs_NCAP'!B$14</f>
        <v>0</v>
      </c>
      <c r="G2047" s="1">
        <f>'[1]Electricity and CHPs_NCAP'!C$14</f>
        <v>0</v>
      </c>
      <c r="H2047" s="1">
        <f>'[1]Electricity and CHPs_NCAP'!D$14</f>
        <v>0</v>
      </c>
      <c r="I2047" s="1">
        <f>'[1]Electricity and CHPs_NCAP'!E$14</f>
        <v>0</v>
      </c>
      <c r="J2047" s="1">
        <f>'[1]Electricity and CHPs_NCAP'!F$14</f>
        <v>0</v>
      </c>
      <c r="K2047" s="1">
        <f>'[1]Electricity and CHPs_NCAP'!G$14</f>
        <v>0</v>
      </c>
    </row>
    <row r="2048" spans="2:11" x14ac:dyDescent="0.35">
      <c r="B2048" s="5" t="str">
        <f t="shared" si="1295"/>
        <v>SPS3</v>
      </c>
      <c r="C2048" s="5" t="str">
        <f t="shared" si="1292"/>
        <v>CH</v>
      </c>
      <c r="D2048" t="s">
        <v>2200</v>
      </c>
      <c r="E2048" t="str">
        <f t="shared" si="1293"/>
        <v>GWe/yr.</v>
      </c>
      <c r="F2048" s="1">
        <f t="shared" ref="F2048:K2048" si="1296">SUM(F2049:F2051)</f>
        <v>0</v>
      </c>
      <c r="G2048" s="1">
        <f t="shared" si="1296"/>
        <v>3.7245757162490185E-2</v>
      </c>
      <c r="H2048" s="1">
        <f t="shared" si="1296"/>
        <v>3.2168414840049817E-3</v>
      </c>
      <c r="I2048" s="1">
        <f t="shared" si="1296"/>
        <v>6.7819874960991525E-2</v>
      </c>
      <c r="J2048" s="1">
        <f t="shared" si="1296"/>
        <v>0.21718012725623151</v>
      </c>
      <c r="K2048" s="1">
        <f t="shared" si="1296"/>
        <v>0.88014535292097917</v>
      </c>
    </row>
    <row r="2049" spans="2:11" x14ac:dyDescent="0.35">
      <c r="B2049" s="5" t="str">
        <f t="shared" si="1295"/>
        <v>SPS3</v>
      </c>
      <c r="C2049" s="5" t="str">
        <f t="shared" si="1292"/>
        <v>CH</v>
      </c>
      <c r="D2049" t="s">
        <v>2201</v>
      </c>
      <c r="E2049" t="str">
        <f t="shared" si="1293"/>
        <v>GWe/yr.</v>
      </c>
      <c r="F2049" s="1">
        <f>'[1]Electricity and CHPs_NCAP'!B$15</f>
        <v>0</v>
      </c>
      <c r="G2049" s="1">
        <f>'[1]Electricity and CHPs_NCAP'!C$15</f>
        <v>3.5590361696717164E-2</v>
      </c>
      <c r="H2049" s="1">
        <f>'[1]Electricity and CHPs_NCAP'!D$15</f>
        <v>2.5150014349378739E-5</v>
      </c>
      <c r="I2049" s="1">
        <f>'[1]Electricity and CHPs_NCAP'!E$15</f>
        <v>4.094595557608207E-2</v>
      </c>
      <c r="J2049" s="1">
        <f>'[1]Electricity and CHPs_NCAP'!F$15</f>
        <v>0.15310165685375365</v>
      </c>
      <c r="K2049" s="1">
        <f>'[1]Electricity and CHPs_NCAP'!G$15</f>
        <v>0.51105325047634531</v>
      </c>
    </row>
    <row r="2050" spans="2:11" x14ac:dyDescent="0.35">
      <c r="B2050" s="5" t="str">
        <f t="shared" si="1295"/>
        <v>SPS3</v>
      </c>
      <c r="C2050" s="5" t="str">
        <f t="shared" si="1292"/>
        <v>CH</v>
      </c>
      <c r="D2050" t="s">
        <v>2202</v>
      </c>
      <c r="E2050" t="str">
        <f t="shared" si="1293"/>
        <v>GWe/yr.</v>
      </c>
      <c r="F2050" s="1">
        <f>'[1]Electricity and CHPs_NCAP'!B$16</f>
        <v>0</v>
      </c>
      <c r="G2050" s="1">
        <f>'[1]Electricity and CHPs_NCAP'!C$16</f>
        <v>1.1371745351913621E-3</v>
      </c>
      <c r="H2050" s="1">
        <f>'[1]Electricity and CHPs_NCAP'!D$16</f>
        <v>3.1915874509756527E-3</v>
      </c>
      <c r="I2050" s="1">
        <f>'[1]Electricity and CHPs_NCAP'!E$16</f>
        <v>2.6873716693678589E-2</v>
      </c>
      <c r="J2050" s="1">
        <f>'[1]Electricity and CHPs_NCAP'!F$16</f>
        <v>6.3687777904654047E-2</v>
      </c>
      <c r="K2050" s="1">
        <f>'[1]Electricity and CHPs_NCAP'!G$16</f>
        <v>0.36812932869361242</v>
      </c>
    </row>
    <row r="2051" spans="2:11" x14ac:dyDescent="0.35">
      <c r="B2051" s="5" t="str">
        <f t="shared" si="1295"/>
        <v>SPS3</v>
      </c>
      <c r="C2051" s="5" t="str">
        <f t="shared" si="1292"/>
        <v>CH</v>
      </c>
      <c r="D2051" t="s">
        <v>2203</v>
      </c>
      <c r="E2051" t="str">
        <f t="shared" si="1293"/>
        <v>GWe/yr.</v>
      </c>
      <c r="F2051" s="1">
        <f>'[1]Electricity and CHPs_NCAP'!B$17</f>
        <v>0</v>
      </c>
      <c r="G2051" s="1">
        <f>'[1]Electricity and CHPs_NCAP'!C$17</f>
        <v>5.1822093058165796E-4</v>
      </c>
      <c r="H2051" s="1">
        <f>'[1]Electricity and CHPs_NCAP'!D$17</f>
        <v>1.04018679950445E-7</v>
      </c>
      <c r="I2051" s="1">
        <f>'[1]Electricity and CHPs_NCAP'!E$17</f>
        <v>2.0269123087169901E-7</v>
      </c>
      <c r="J2051" s="1">
        <f>'[1]Electricity and CHPs_NCAP'!F$17</f>
        <v>3.9069249782380902E-4</v>
      </c>
      <c r="K2051" s="1">
        <f>'[1]Electricity and CHPs_NCAP'!G$17</f>
        <v>9.6277375102145595E-4</v>
      </c>
    </row>
    <row r="2052" spans="2:11" x14ac:dyDescent="0.35">
      <c r="B2052" s="5" t="str">
        <f t="shared" si="1295"/>
        <v>SPS3</v>
      </c>
      <c r="C2052" s="5" t="str">
        <f t="shared" si="1292"/>
        <v>CH</v>
      </c>
      <c r="D2052" t="s">
        <v>2204</v>
      </c>
      <c r="E2052" t="str">
        <f t="shared" si="1293"/>
        <v>GWe/yr.</v>
      </c>
      <c r="F2052" s="1">
        <f t="shared" ref="F2052:K2052" si="1297">SUM(F2053:F2055)</f>
        <v>0</v>
      </c>
      <c r="G2052" s="1">
        <f t="shared" si="1297"/>
        <v>9.8143402764341598E-3</v>
      </c>
      <c r="H2052" s="1">
        <f t="shared" si="1297"/>
        <v>1.2360357462497633E-2</v>
      </c>
      <c r="I2052" s="1">
        <f t="shared" si="1297"/>
        <v>1.4053770010821228E-2</v>
      </c>
      <c r="J2052" s="1">
        <f t="shared" si="1297"/>
        <v>5.7746730140207171E-5</v>
      </c>
      <c r="K2052" s="1">
        <f t="shared" si="1297"/>
        <v>9.5274291992488005E-5</v>
      </c>
    </row>
    <row r="2053" spans="2:11" x14ac:dyDescent="0.35">
      <c r="B2053" s="5" t="str">
        <f t="shared" si="1295"/>
        <v>SPS3</v>
      </c>
      <c r="C2053" s="5" t="str">
        <f t="shared" si="1292"/>
        <v>CH</v>
      </c>
      <c r="D2053" t="s">
        <v>2205</v>
      </c>
      <c r="E2053" t="str">
        <f t="shared" si="1293"/>
        <v>GWe/yr.</v>
      </c>
      <c r="F2053" s="1">
        <f>'[1]Electricity and CHPs_NCAP'!B$18</f>
        <v>0</v>
      </c>
      <c r="G2053" s="1">
        <f>'[1]Electricity and CHPs_NCAP'!C$18</f>
        <v>2.8103450150786999E-5</v>
      </c>
      <c r="H2053" s="1">
        <f>'[1]Electricity and CHPs_NCAP'!D$18</f>
        <v>1.22691947944058E-2</v>
      </c>
      <c r="I2053" s="1">
        <f>'[1]Electricity and CHPs_NCAP'!E$18</f>
        <v>7.1719145558087104E-5</v>
      </c>
      <c r="J2053" s="1">
        <f>'[1]Electricity and CHPs_NCAP'!F$18</f>
        <v>9.5320839042672006E-6</v>
      </c>
      <c r="K2053" s="1">
        <f>'[1]Electricity and CHPs_NCAP'!G$18</f>
        <v>8.6746031869413994E-6</v>
      </c>
    </row>
    <row r="2054" spans="2:11" x14ac:dyDescent="0.35">
      <c r="B2054" s="5" t="str">
        <f t="shared" si="1295"/>
        <v>SPS3</v>
      </c>
      <c r="C2054" s="5" t="str">
        <f t="shared" si="1292"/>
        <v>CH</v>
      </c>
      <c r="D2054" t="s">
        <v>2206</v>
      </c>
      <c r="E2054" t="str">
        <f t="shared" si="1293"/>
        <v>GWe/yr.</v>
      </c>
      <c r="F2054" s="1">
        <f>'[1]Electricity and CHPs_NCAP'!B$28</f>
        <v>0</v>
      </c>
      <c r="G2054" s="1">
        <f>'[1]Electricity and CHPs_NCAP'!C$28</f>
        <v>7.5888356795618196E-6</v>
      </c>
      <c r="H2054" s="1">
        <f>'[1]Electricity and CHPs_NCAP'!D$28</f>
        <v>5.7473200525670897E-6</v>
      </c>
      <c r="I2054" s="1">
        <f>'[1]Electricity and CHPs_NCAP'!E$28</f>
        <v>7.1621990584402E-6</v>
      </c>
      <c r="J2054" s="1">
        <f>'[1]Electricity and CHPs_NCAP'!F$28</f>
        <v>4.5073069776531003E-5</v>
      </c>
      <c r="K2054" s="1">
        <f>'[1]Electricity and CHPs_NCAP'!G$28</f>
        <v>8.4278759432206501E-5</v>
      </c>
    </row>
    <row r="2055" spans="2:11" x14ac:dyDescent="0.35">
      <c r="B2055" s="5" t="str">
        <f t="shared" si="1295"/>
        <v>SPS3</v>
      </c>
      <c r="C2055" s="5" t="str">
        <f t="shared" si="1292"/>
        <v>CH</v>
      </c>
      <c r="D2055" t="s">
        <v>2207</v>
      </c>
      <c r="E2055" t="str">
        <f t="shared" si="1293"/>
        <v>GWe/yr.</v>
      </c>
      <c r="F2055" s="1">
        <f>'[1]Electricity and CHPs_NCAP'!B$41</f>
        <v>0</v>
      </c>
      <c r="G2055" s="1">
        <f>'[1]Electricity and CHPs_NCAP'!C$41</f>
        <v>9.7786479906038105E-3</v>
      </c>
      <c r="H2055" s="1">
        <f>'[1]Electricity and CHPs_NCAP'!D$41</f>
        <v>8.5415348039265696E-5</v>
      </c>
      <c r="I2055" s="1">
        <f>'[1]Electricity and CHPs_NCAP'!E$41</f>
        <v>1.39748886662047E-2</v>
      </c>
      <c r="J2055" s="1">
        <f>'[1]Electricity and CHPs_NCAP'!F$41</f>
        <v>3.1415764594089699E-6</v>
      </c>
      <c r="K2055" s="1">
        <f>'[1]Electricity and CHPs_NCAP'!G$41</f>
        <v>2.3209293733401098E-6</v>
      </c>
    </row>
    <row r="2056" spans="2:11" x14ac:dyDescent="0.35">
      <c r="B2056" s="5" t="str">
        <f t="shared" si="1295"/>
        <v>SPS3</v>
      </c>
      <c r="C2056" s="5" t="str">
        <f t="shared" si="1292"/>
        <v>CH</v>
      </c>
      <c r="D2056" t="s">
        <v>2208</v>
      </c>
      <c r="E2056" t="str">
        <f t="shared" si="1293"/>
        <v>GWe/yr.</v>
      </c>
      <c r="F2056" s="1">
        <f t="shared" ref="F2056:K2056" si="1298">SUM(F2057:F2071)</f>
        <v>0</v>
      </c>
      <c r="G2056" s="1">
        <f t="shared" si="1298"/>
        <v>5.3746437473995511E-2</v>
      </c>
      <c r="H2056" s="1">
        <f t="shared" si="1298"/>
        <v>1.2525406350306917E-2</v>
      </c>
      <c r="I2056" s="1">
        <f t="shared" si="1298"/>
        <v>0.14552857380288542</v>
      </c>
      <c r="J2056" s="1">
        <f t="shared" si="1298"/>
        <v>0.46244160973705584</v>
      </c>
      <c r="K2056" s="1">
        <f t="shared" si="1298"/>
        <v>4.264956907002402E-2</v>
      </c>
    </row>
    <row r="2057" spans="2:11" x14ac:dyDescent="0.35">
      <c r="B2057" s="5" t="str">
        <f t="shared" si="1295"/>
        <v>SPS3</v>
      </c>
      <c r="C2057" s="5" t="str">
        <f t="shared" si="1292"/>
        <v>CH</v>
      </c>
      <c r="D2057" t="s">
        <v>2209</v>
      </c>
      <c r="E2057" t="str">
        <f t="shared" si="1293"/>
        <v>GWe/yr.</v>
      </c>
      <c r="F2057" s="1">
        <f>'[1]Electricity and CHPs_NCAP'!B$21</f>
        <v>0</v>
      </c>
      <c r="G2057" s="1">
        <f>'[1]Electricity and CHPs_NCAP'!C$21</f>
        <v>0</v>
      </c>
      <c r="H2057" s="1">
        <f>'[1]Electricity and CHPs_NCAP'!D$21</f>
        <v>0</v>
      </c>
      <c r="I2057" s="1">
        <f>'[1]Electricity and CHPs_NCAP'!E$21</f>
        <v>0</v>
      </c>
      <c r="J2057" s="1">
        <f>'[1]Electricity and CHPs_NCAP'!F$21</f>
        <v>3.8790223258782902E-4</v>
      </c>
      <c r="K2057" s="1">
        <f>'[1]Electricity and CHPs_NCAP'!G$21</f>
        <v>1.9342566620511201E-6</v>
      </c>
    </row>
    <row r="2058" spans="2:11" x14ac:dyDescent="0.35">
      <c r="B2058" s="5" t="str">
        <f t="shared" si="1295"/>
        <v>SPS3</v>
      </c>
      <c r="C2058" s="5" t="str">
        <f t="shared" si="1292"/>
        <v>CH</v>
      </c>
      <c r="D2058" t="s">
        <v>2210</v>
      </c>
      <c r="E2058" t="str">
        <f t="shared" si="1293"/>
        <v>GWe/yr.</v>
      </c>
      <c r="F2058" s="1">
        <f>'[1]Electricity and CHPs_NCAP'!B$22</f>
        <v>0</v>
      </c>
      <c r="G2058" s="1">
        <f>'[1]Electricity and CHPs_NCAP'!C$22</f>
        <v>0</v>
      </c>
      <c r="H2058" s="1">
        <f>'[1]Electricity and CHPs_NCAP'!D$22</f>
        <v>0</v>
      </c>
      <c r="I2058" s="1">
        <f>'[1]Electricity and CHPs_NCAP'!E$22</f>
        <v>4.9721023366875198E-3</v>
      </c>
      <c r="J2058" s="1">
        <f>'[1]Electricity and CHPs_NCAP'!F$22</f>
        <v>1.18557081393982E-5</v>
      </c>
      <c r="K2058" s="1">
        <f>'[1]Electricity and CHPs_NCAP'!G$22</f>
        <v>8.1242506986300298E-6</v>
      </c>
    </row>
    <row r="2059" spans="2:11" x14ac:dyDescent="0.35">
      <c r="B2059" s="5" t="str">
        <f t="shared" si="1295"/>
        <v>SPS3</v>
      </c>
      <c r="C2059" s="5" t="str">
        <f t="shared" si="1292"/>
        <v>CH</v>
      </c>
      <c r="D2059" t="s">
        <v>2211</v>
      </c>
      <c r="E2059" t="str">
        <f t="shared" si="1293"/>
        <v>GWe/yr.</v>
      </c>
      <c r="F2059" s="1">
        <f>'[1]Electricity and CHPs_NCAP'!B$23</f>
        <v>0</v>
      </c>
      <c r="G2059" s="1">
        <f>'[1]Electricity and CHPs_NCAP'!C$23</f>
        <v>0</v>
      </c>
      <c r="H2059" s="1">
        <f>'[1]Electricity and CHPs_NCAP'!D$23</f>
        <v>0</v>
      </c>
      <c r="I2059" s="1">
        <f>'[1]Electricity and CHPs_NCAP'!E$23</f>
        <v>0</v>
      </c>
      <c r="J2059" s="1">
        <f>'[1]Electricity and CHPs_NCAP'!F$23</f>
        <v>2.0848537152429501E-4</v>
      </c>
      <c r="K2059" s="1">
        <f>'[1]Electricity and CHPs_NCAP'!G$23</f>
        <v>3.8133479929019901E-2</v>
      </c>
    </row>
    <row r="2060" spans="2:11" x14ac:dyDescent="0.35">
      <c r="B2060" s="5" t="str">
        <f t="shared" si="1295"/>
        <v>SPS3</v>
      </c>
      <c r="C2060" s="5" t="str">
        <f t="shared" si="1292"/>
        <v>CH</v>
      </c>
      <c r="D2060" t="s">
        <v>2212</v>
      </c>
      <c r="E2060" t="str">
        <f t="shared" si="1293"/>
        <v>GWe/yr.</v>
      </c>
      <c r="F2060" s="1">
        <f>'[1]Electricity and CHPs_NCAP'!B$24</f>
        <v>0</v>
      </c>
      <c r="G2060" s="1">
        <f>'[1]Electricity and CHPs_NCAP'!C$24</f>
        <v>6.8882607546805295E-7</v>
      </c>
      <c r="H2060" s="1">
        <f>'[1]Electricity and CHPs_NCAP'!D$24</f>
        <v>6.5581765479005795E-4</v>
      </c>
      <c r="I2060" s="1">
        <f>'[1]Electricity and CHPs_NCAP'!E$24</f>
        <v>2.3478605206174802E-6</v>
      </c>
      <c r="J2060" s="1">
        <f>'[1]Electricity and CHPs_NCAP'!F$24</f>
        <v>1.1470937361197399E-6</v>
      </c>
      <c r="K2060" s="1">
        <f>'[1]Electricity and CHPs_NCAP'!G$24</f>
        <v>5.9979175960482104E-7</v>
      </c>
    </row>
    <row r="2061" spans="2:11" x14ac:dyDescent="0.35">
      <c r="B2061" s="5" t="str">
        <f t="shared" si="1295"/>
        <v>SPS3</v>
      </c>
      <c r="C2061" s="5" t="str">
        <f t="shared" si="1292"/>
        <v>CH</v>
      </c>
      <c r="D2061" t="s">
        <v>2213</v>
      </c>
      <c r="E2061" t="str">
        <f t="shared" si="1293"/>
        <v>GWe/yr.</v>
      </c>
      <c r="F2061" s="1">
        <f>'[1]Electricity and CHPs_NCAP'!B$29</f>
        <v>0</v>
      </c>
      <c r="G2061" s="1">
        <f>'[1]Electricity and CHPs_NCAP'!C$29</f>
        <v>0</v>
      </c>
      <c r="H2061" s="1">
        <f>'[1]Electricity and CHPs_NCAP'!D$29</f>
        <v>0</v>
      </c>
      <c r="I2061" s="1">
        <f>'[1]Electricity and CHPs_NCAP'!E$29</f>
        <v>0</v>
      </c>
      <c r="J2061" s="1">
        <f>'[1]Electricity and CHPs_NCAP'!F$29</f>
        <v>1.0964637484447501E-2</v>
      </c>
      <c r="K2061" s="1">
        <f>'[1]Electricity and CHPs_NCAP'!G$29</f>
        <v>2.2812350547867599E-7</v>
      </c>
    </row>
    <row r="2062" spans="2:11" x14ac:dyDescent="0.35">
      <c r="B2062" s="5" t="str">
        <f t="shared" si="1295"/>
        <v>SPS3</v>
      </c>
      <c r="C2062" s="5" t="str">
        <f t="shared" si="1292"/>
        <v>CH</v>
      </c>
      <c r="D2062" t="s">
        <v>2214</v>
      </c>
      <c r="E2062" t="str">
        <f t="shared" si="1293"/>
        <v>GWe/yr.</v>
      </c>
      <c r="F2062" s="1">
        <f>'[1]Electricity and CHPs_NCAP'!B$39</f>
        <v>0</v>
      </c>
      <c r="G2062" s="1">
        <f>'[1]Electricity and CHPs_NCAP'!C$39</f>
        <v>1.04156438285341E-5</v>
      </c>
      <c r="H2062" s="1">
        <f>'[1]Electricity and CHPs_NCAP'!D$39</f>
        <v>1.36760145860801E-5</v>
      </c>
      <c r="I2062" s="1">
        <f>'[1]Electricity and CHPs_NCAP'!E$39</f>
        <v>2.0900504771199902E-3</v>
      </c>
      <c r="J2062" s="1">
        <f>'[1]Electricity and CHPs_NCAP'!F$39</f>
        <v>8.0678162352263837E-7</v>
      </c>
      <c r="K2062" s="1">
        <f>'[1]Electricity and CHPs_NCAP'!G$39</f>
        <v>1.3772528066328501E-6</v>
      </c>
    </row>
    <row r="2063" spans="2:11" x14ac:dyDescent="0.35">
      <c r="B2063" s="5" t="str">
        <f t="shared" si="1295"/>
        <v>SPS3</v>
      </c>
      <c r="C2063" s="5" t="str">
        <f t="shared" si="1292"/>
        <v>CH</v>
      </c>
      <c r="D2063" t="s">
        <v>2215</v>
      </c>
      <c r="E2063" t="str">
        <f t="shared" si="1293"/>
        <v>GWe/yr.</v>
      </c>
      <c r="F2063" s="1">
        <f>'[1]Electricity and CHPs_NCAP'!B$40</f>
        <v>0</v>
      </c>
      <c r="G2063" s="1">
        <f>'[1]Electricity and CHPs_NCAP'!C$40</f>
        <v>0</v>
      </c>
      <c r="H2063" s="1">
        <f>'[1]Electricity and CHPs_NCAP'!D$40</f>
        <v>0</v>
      </c>
      <c r="I2063" s="1">
        <f>'[1]Electricity and CHPs_NCAP'!E$40</f>
        <v>0</v>
      </c>
      <c r="J2063" s="1">
        <f>'[1]Electricity and CHPs_NCAP'!F$40</f>
        <v>7.3424459817592998E-5</v>
      </c>
      <c r="K2063" s="1">
        <f>'[1]Electricity and CHPs_NCAP'!G$40</f>
        <v>5.0836736612959098E-5</v>
      </c>
    </row>
    <row r="2064" spans="2:11" x14ac:dyDescent="0.35">
      <c r="B2064" s="5" t="str">
        <f t="shared" si="1295"/>
        <v>SPS3</v>
      </c>
      <c r="C2064" s="5" t="str">
        <f t="shared" si="1292"/>
        <v>CH</v>
      </c>
      <c r="D2064" t="s">
        <v>2216</v>
      </c>
      <c r="E2064" t="str">
        <f t="shared" si="1293"/>
        <v>GWe/yr.</v>
      </c>
      <c r="F2064" s="1">
        <f>'[1]Electricity and CHPs_NCAP'!B$47</f>
        <v>0</v>
      </c>
      <c r="G2064" s="1">
        <f>'[1]Electricity and CHPs_NCAP'!C$47</f>
        <v>0</v>
      </c>
      <c r="H2064" s="1">
        <f>'[1]Electricity and CHPs_NCAP'!D$47</f>
        <v>0</v>
      </c>
      <c r="I2064" s="1">
        <f>'[1]Electricity and CHPs_NCAP'!E$47</f>
        <v>0</v>
      </c>
      <c r="J2064" s="1">
        <f>'[1]Electricity and CHPs_NCAP'!F$47</f>
        <v>1.24407250687902E-6</v>
      </c>
      <c r="K2064" s="1">
        <f>'[1]Electricity and CHPs_NCAP'!G$47</f>
        <v>1.15367892318827E-4</v>
      </c>
    </row>
    <row r="2065" spans="2:11" x14ac:dyDescent="0.35">
      <c r="B2065" s="5" t="str">
        <f t="shared" si="1295"/>
        <v>SPS3</v>
      </c>
      <c r="C2065" s="5" t="str">
        <f t="shared" si="1292"/>
        <v>CH</v>
      </c>
      <c r="D2065" t="s">
        <v>2217</v>
      </c>
      <c r="E2065" t="str">
        <f t="shared" si="1293"/>
        <v>GWe/yr.</v>
      </c>
      <c r="F2065" s="1">
        <f>'[1]Electricity and CHPs_NCAP'!B$48</f>
        <v>0</v>
      </c>
      <c r="G2065" s="1">
        <f>'[1]Electricity and CHPs_NCAP'!C$48</f>
        <v>7.1747244657469512E-5</v>
      </c>
      <c r="H2065" s="1">
        <f>'[1]Electricity and CHPs_NCAP'!D$48</f>
        <v>2.057583997963802E-4</v>
      </c>
      <c r="I2065" s="1">
        <f>'[1]Electricity and CHPs_NCAP'!E$48</f>
        <v>8.5025281798587605E-5</v>
      </c>
      <c r="J2065" s="1">
        <f>'[1]Electricity and CHPs_NCAP'!F$48</f>
        <v>6.0854614016507098E-6</v>
      </c>
      <c r="K2065" s="1">
        <f>'[1]Electricity and CHPs_NCAP'!G$48</f>
        <v>1.806790613146313E-6</v>
      </c>
    </row>
    <row r="2066" spans="2:11" x14ac:dyDescent="0.35">
      <c r="B2066" s="5" t="str">
        <f t="shared" si="1295"/>
        <v>SPS3</v>
      </c>
      <c r="C2066" s="5" t="str">
        <f t="shared" si="1292"/>
        <v>CH</v>
      </c>
      <c r="D2066" t="s">
        <v>2218</v>
      </c>
      <c r="E2066" t="str">
        <f t="shared" si="1293"/>
        <v>GWe/yr.</v>
      </c>
      <c r="F2066" s="1">
        <f>'[1]Electricity and CHPs_NCAP'!B$49</f>
        <v>0</v>
      </c>
      <c r="G2066" s="1">
        <f>'[1]Electricity and CHPs_NCAP'!C$49</f>
        <v>0</v>
      </c>
      <c r="H2066" s="1">
        <f>'[1]Electricity and CHPs_NCAP'!D$49</f>
        <v>0</v>
      </c>
      <c r="I2066" s="1">
        <f>'[1]Electricity and CHPs_NCAP'!E$49</f>
        <v>6.9301687251229402E-5</v>
      </c>
      <c r="J2066" s="1">
        <f>'[1]Electricity and CHPs_NCAP'!F$49</f>
        <v>1.176136805973696E-6</v>
      </c>
      <c r="K2066" s="1">
        <f>'[1]Electricity and CHPs_NCAP'!G$49</f>
        <v>1.5590699446610299E-7</v>
      </c>
    </row>
    <row r="2067" spans="2:11" x14ac:dyDescent="0.35">
      <c r="B2067" s="5" t="str">
        <f t="shared" si="1295"/>
        <v>SPS3</v>
      </c>
      <c r="C2067" s="5" t="str">
        <f t="shared" si="1292"/>
        <v>CH</v>
      </c>
      <c r="D2067" t="s">
        <v>2219</v>
      </c>
      <c r="E2067" t="str">
        <f t="shared" si="1293"/>
        <v>GWe/yr.</v>
      </c>
      <c r="F2067" s="1">
        <f>'[1]Electricity and CHPs_NCAP'!B$51</f>
        <v>0</v>
      </c>
      <c r="G2067" s="1">
        <f>'[1]Electricity and CHPs_NCAP'!C$51</f>
        <v>2.9786410842844104E-4</v>
      </c>
      <c r="H2067" s="1">
        <f>'[1]Electricity and CHPs_NCAP'!D$51</f>
        <v>1.0225669474910291E-3</v>
      </c>
      <c r="I2067" s="1">
        <f>'[1]Electricity and CHPs_NCAP'!E$51</f>
        <v>0.12562953471295862</v>
      </c>
      <c r="J2067" s="1">
        <f>'[1]Electricity and CHPs_NCAP'!F$51</f>
        <v>5.2925871075804694E-7</v>
      </c>
      <c r="K2067" s="1">
        <f>'[1]Electricity and CHPs_NCAP'!G$51</f>
        <v>3.5998186763008401E-7</v>
      </c>
    </row>
    <row r="2068" spans="2:11" x14ac:dyDescent="0.35">
      <c r="B2068" s="5" t="str">
        <f t="shared" si="1295"/>
        <v>SPS3</v>
      </c>
      <c r="C2068" s="5" t="str">
        <f t="shared" si="1292"/>
        <v>CH</v>
      </c>
      <c r="D2068" t="s">
        <v>2220</v>
      </c>
      <c r="E2068" t="str">
        <f t="shared" si="1293"/>
        <v>GWe/yr.</v>
      </c>
      <c r="F2068" s="1">
        <f>'[1]Electricity and CHPs_NCAP'!B$52</f>
        <v>0</v>
      </c>
      <c r="G2068" s="1">
        <f>'[1]Electricity and CHPs_NCAP'!C$52</f>
        <v>0</v>
      </c>
      <c r="H2068" s="1">
        <f>'[1]Electricity and CHPs_NCAP'!D$52</f>
        <v>0</v>
      </c>
      <c r="I2068" s="1">
        <f>'[1]Electricity and CHPs_NCAP'!E$52</f>
        <v>3.8143794892232401E-4</v>
      </c>
      <c r="J2068" s="1">
        <f>'[1]Electricity and CHPs_NCAP'!F$52</f>
        <v>9.0360444558059902E-2</v>
      </c>
      <c r="K2068" s="1">
        <f>'[1]Electricity and CHPs_NCAP'!G$52</f>
        <v>5.39686729989518E-7</v>
      </c>
    </row>
    <row r="2069" spans="2:11" x14ac:dyDescent="0.35">
      <c r="B2069" s="5" t="str">
        <f t="shared" si="1295"/>
        <v>SPS3</v>
      </c>
      <c r="C2069" s="5" t="str">
        <f t="shared" si="1292"/>
        <v>CH</v>
      </c>
      <c r="D2069" t="s">
        <v>2221</v>
      </c>
      <c r="E2069" t="str">
        <f t="shared" si="1293"/>
        <v>GWe/yr.</v>
      </c>
      <c r="F2069" s="1">
        <f>'[1]Electricity and CHPs_NCAP'!B$54</f>
        <v>0</v>
      </c>
      <c r="G2069" s="1">
        <f>'[1]Electricity and CHPs_NCAP'!C$54</f>
        <v>2.6190184071780299E-2</v>
      </c>
      <c r="H2069" s="1">
        <f>'[1]Electricity and CHPs_NCAP'!D$54</f>
        <v>1.0627405981027301E-2</v>
      </c>
      <c r="I2069" s="1">
        <f>'[1]Electricity and CHPs_NCAP'!E$54</f>
        <v>1.2223310591966401E-2</v>
      </c>
      <c r="J2069" s="1">
        <f>'[1]Electricity and CHPs_NCAP'!F$54</f>
        <v>0.360419981596523</v>
      </c>
      <c r="K2069" s="1">
        <f>'[1]Electricity and CHPs_NCAP'!G$54</f>
        <v>4.295894787005E-3</v>
      </c>
    </row>
    <row r="2070" spans="2:11" x14ac:dyDescent="0.35">
      <c r="B2070" s="5" t="str">
        <f t="shared" si="1295"/>
        <v>SPS3</v>
      </c>
      <c r="C2070" s="5" t="str">
        <f t="shared" si="1292"/>
        <v>CH</v>
      </c>
      <c r="D2070" t="s">
        <v>2222</v>
      </c>
      <c r="E2070" t="str">
        <f t="shared" si="1293"/>
        <v>GWe/yr.</v>
      </c>
      <c r="F2070" s="1">
        <f>'[1]Electricity and CHPs_NCAP'!B$55</f>
        <v>0</v>
      </c>
      <c r="G2070" s="1">
        <f>'[1]Electricity and CHPs_NCAP'!C$55</f>
        <v>2.7175537579225299E-2</v>
      </c>
      <c r="H2070" s="1">
        <f>'[1]Electricity and CHPs_NCAP'!D$55</f>
        <v>1.8135261606865499E-7</v>
      </c>
      <c r="I2070" s="1">
        <f>'[1]Electricity and CHPs_NCAP'!E$55</f>
        <v>7.8831202158531196E-7</v>
      </c>
      <c r="J2070" s="1">
        <f>'[1]Electricity and CHPs_NCAP'!F$55</f>
        <v>7.1970012824178196E-7</v>
      </c>
      <c r="K2070" s="1">
        <f>'[1]Electricity and CHPs_NCAP'!G$55</f>
        <v>3.8280721721473403E-5</v>
      </c>
    </row>
    <row r="2071" spans="2:11" x14ac:dyDescent="0.35">
      <c r="B2071" s="5" t="str">
        <f t="shared" si="1295"/>
        <v>SPS3</v>
      </c>
      <c r="C2071" s="5" t="str">
        <f t="shared" si="1292"/>
        <v>CH</v>
      </c>
      <c r="D2071" t="s">
        <v>2223</v>
      </c>
      <c r="E2071" t="str">
        <f t="shared" si="1293"/>
        <v>GWe/yr.</v>
      </c>
      <c r="F2071" s="1">
        <f>'[1]Electricity and CHPs_NCAP'!B$58</f>
        <v>0</v>
      </c>
      <c r="G2071" s="1">
        <f>'[1]Electricity and CHPs_NCAP'!C$58</f>
        <v>0</v>
      </c>
      <c r="H2071" s="1">
        <f>'[1]Electricity and CHPs_NCAP'!D$58</f>
        <v>0</v>
      </c>
      <c r="I2071" s="1">
        <f>'[1]Electricity and CHPs_NCAP'!E$58</f>
        <v>7.4674593638540801E-5</v>
      </c>
      <c r="J2071" s="1">
        <f>'[1]Electricity and CHPs_NCAP'!F$58</f>
        <v>3.16982104318812E-6</v>
      </c>
      <c r="K2071" s="1">
        <f>'[1]Electricity and CHPs_NCAP'!G$58</f>
        <v>5.8296170823568298E-7</v>
      </c>
    </row>
    <row r="2072" spans="2:11" x14ac:dyDescent="0.35">
      <c r="B2072" s="5" t="str">
        <f t="shared" si="1295"/>
        <v>SPS3</v>
      </c>
      <c r="C2072" s="5" t="str">
        <f t="shared" si="1292"/>
        <v>CH</v>
      </c>
      <c r="D2072" t="s">
        <v>2224</v>
      </c>
      <c r="E2072" t="str">
        <f t="shared" si="1293"/>
        <v>GWe/yr.</v>
      </c>
      <c r="F2072" s="1">
        <f t="shared" ref="F2072:K2072" si="1299">SUM(F2073:F2078)</f>
        <v>0</v>
      </c>
      <c r="G2072" s="1">
        <f t="shared" si="1299"/>
        <v>1.7522020063733598E-6</v>
      </c>
      <c r="H2072" s="1">
        <f t="shared" si="1299"/>
        <v>3.2137227408067508E-6</v>
      </c>
      <c r="I2072" s="1">
        <f t="shared" si="1299"/>
        <v>5.5612841397666174E-2</v>
      </c>
      <c r="J2072" s="1">
        <f t="shared" si="1299"/>
        <v>7.5291374255416932E-2</v>
      </c>
      <c r="K2072" s="1">
        <f t="shared" si="1299"/>
        <v>0.29426613909984495</v>
      </c>
    </row>
    <row r="2073" spans="2:11" x14ac:dyDescent="0.35">
      <c r="B2073" s="5" t="str">
        <f t="shared" si="1295"/>
        <v>SPS3</v>
      </c>
      <c r="C2073" s="5" t="str">
        <f t="shared" si="1292"/>
        <v>CH</v>
      </c>
      <c r="D2073" t="s">
        <v>2225</v>
      </c>
      <c r="E2073" t="str">
        <f t="shared" si="1293"/>
        <v>GWe/yr.</v>
      </c>
      <c r="F2073" s="1">
        <f>'[1]Electricity and CHPs_NCAP'!B$19</f>
        <v>0</v>
      </c>
      <c r="G2073" s="1">
        <f>'[1]Electricity and CHPs_NCAP'!C$19</f>
        <v>5.7917313612125495E-7</v>
      </c>
      <c r="H2073" s="1">
        <f>'[1]Electricity and CHPs_NCAP'!D$19</f>
        <v>2.3189136421135199E-6</v>
      </c>
      <c r="I2073" s="1">
        <f>'[1]Electricity and CHPs_NCAP'!E$19</f>
        <v>5.4111735830389501E-2</v>
      </c>
      <c r="J2073" s="1">
        <f>'[1]Electricity and CHPs_NCAP'!F$19</f>
        <v>5.4344944799180499E-2</v>
      </c>
      <c r="K2073" s="1">
        <f>'[1]Electricity and CHPs_NCAP'!G$19</f>
        <v>1.3810390948354601E-7</v>
      </c>
    </row>
    <row r="2074" spans="2:11" x14ac:dyDescent="0.35">
      <c r="B2074" s="5" t="str">
        <f t="shared" si="1295"/>
        <v>SPS3</v>
      </c>
      <c r="C2074" s="5" t="str">
        <f t="shared" si="1292"/>
        <v>CH</v>
      </c>
      <c r="D2074" t="s">
        <v>2226</v>
      </c>
      <c r="E2074" t="str">
        <f t="shared" si="1293"/>
        <v>GWe/yr.</v>
      </c>
      <c r="F2074" s="1">
        <f>'[1]Electricity and CHPs_NCAP'!B$20</f>
        <v>0</v>
      </c>
      <c r="G2074" s="1">
        <f>'[1]Electricity and CHPs_NCAP'!C$20</f>
        <v>0</v>
      </c>
      <c r="H2074" s="1">
        <f>'[1]Electricity and CHPs_NCAP'!D$20</f>
        <v>0</v>
      </c>
      <c r="I2074" s="1">
        <f>'[1]Electricity and CHPs_NCAP'!E$20</f>
        <v>0</v>
      </c>
      <c r="J2074" s="1">
        <f>'[1]Electricity and CHPs_NCAP'!F$20</f>
        <v>1.9819810467024701E-5</v>
      </c>
      <c r="K2074" s="1">
        <f>'[1]Electricity and CHPs_NCAP'!G$20</f>
        <v>0.177750896795978</v>
      </c>
    </row>
    <row r="2075" spans="2:11" x14ac:dyDescent="0.35">
      <c r="B2075" s="5" t="str">
        <f t="shared" si="1295"/>
        <v>SPS3</v>
      </c>
      <c r="C2075" s="5" t="str">
        <f t="shared" si="1292"/>
        <v>CH</v>
      </c>
      <c r="D2075" t="s">
        <v>2227</v>
      </c>
      <c r="E2075" t="str">
        <f t="shared" si="1293"/>
        <v>GWe/yr.</v>
      </c>
      <c r="F2075" s="1">
        <f>'[1]Electricity and CHPs_NCAP'!B$26</f>
        <v>0</v>
      </c>
      <c r="G2075" s="1">
        <f>'[1]Electricity and CHPs_NCAP'!C$26</f>
        <v>3.3446430668030499E-7</v>
      </c>
      <c r="H2075" s="1">
        <f>'[1]Electricity and CHPs_NCAP'!D$26</f>
        <v>3.04704233580749E-7</v>
      </c>
      <c r="I2075" s="1">
        <f>'[1]Electricity and CHPs_NCAP'!E$26</f>
        <v>1.0379293780389001E-6</v>
      </c>
      <c r="J2075" s="1">
        <f>'[1]Electricity and CHPs_NCAP'!F$26</f>
        <v>2.0305373233698101E-2</v>
      </c>
      <c r="K2075" s="1">
        <f>'[1]Electricity and CHPs_NCAP'!G$26</f>
        <v>1.3221366043398501E-7</v>
      </c>
    </row>
    <row r="2076" spans="2:11" x14ac:dyDescent="0.35">
      <c r="B2076" s="5" t="str">
        <f t="shared" si="1295"/>
        <v>SPS3</v>
      </c>
      <c r="C2076" s="5" t="str">
        <f t="shared" si="1292"/>
        <v>CH</v>
      </c>
      <c r="D2076" t="s">
        <v>2228</v>
      </c>
      <c r="E2076" t="str">
        <f t="shared" si="1293"/>
        <v>GWe/yr.</v>
      </c>
      <c r="F2076" s="1">
        <f>'[1]Electricity and CHPs_NCAP'!B$27</f>
        <v>0</v>
      </c>
      <c r="G2076" s="1">
        <f>'[1]Electricity and CHPs_NCAP'!C$27</f>
        <v>0</v>
      </c>
      <c r="H2076" s="1">
        <f>'[1]Electricity and CHPs_NCAP'!D$27</f>
        <v>0</v>
      </c>
      <c r="I2076" s="1">
        <f>'[1]Electricity and CHPs_NCAP'!E$27</f>
        <v>0</v>
      </c>
      <c r="J2076" s="1">
        <f>'[1]Electricity and CHPs_NCAP'!F$27</f>
        <v>1.17858877644963E-5</v>
      </c>
      <c r="K2076" s="1">
        <f>'[1]Electricity and CHPs_NCAP'!G$27</f>
        <v>5.6055961138023698E-2</v>
      </c>
    </row>
    <row r="2077" spans="2:11" x14ac:dyDescent="0.35">
      <c r="B2077" s="5" t="str">
        <f t="shared" si="1295"/>
        <v>SPS3</v>
      </c>
      <c r="C2077" s="5" t="str">
        <f t="shared" si="1292"/>
        <v>CH</v>
      </c>
      <c r="D2077" t="s">
        <v>2229</v>
      </c>
      <c r="E2077" t="str">
        <f t="shared" si="1293"/>
        <v>GWe/yr.</v>
      </c>
      <c r="F2077" s="1">
        <f>'[1]Electricity and CHPs_NCAP'!B$44</f>
        <v>0</v>
      </c>
      <c r="G2077" s="1">
        <f>'[1]Electricity and CHPs_NCAP'!C$44</f>
        <v>8.3856456357179996E-7</v>
      </c>
      <c r="H2077" s="1">
        <f>'[1]Electricity and CHPs_NCAP'!D$44</f>
        <v>5.9010486511248199E-7</v>
      </c>
      <c r="I2077" s="1">
        <f>'[1]Electricity and CHPs_NCAP'!E$44</f>
        <v>1.5000676378986301E-3</v>
      </c>
      <c r="J2077" s="1">
        <f>'[1]Electricity and CHPs_NCAP'!F$44</f>
        <v>6.0223751460870497E-4</v>
      </c>
      <c r="K2077" s="1">
        <f>'[1]Electricity and CHPs_NCAP'!G$44</f>
        <v>8.10715371395961E-8</v>
      </c>
    </row>
    <row r="2078" spans="2:11" x14ac:dyDescent="0.35">
      <c r="B2078" s="5" t="str">
        <f t="shared" si="1295"/>
        <v>SPS3</v>
      </c>
      <c r="C2078" s="5" t="str">
        <f t="shared" si="1292"/>
        <v>CH</v>
      </c>
      <c r="D2078" t="s">
        <v>2230</v>
      </c>
      <c r="E2078" t="str">
        <f t="shared" si="1293"/>
        <v>GWe/yr.</v>
      </c>
      <c r="F2078" s="1">
        <f>'[1]Electricity and CHPs_NCAP'!B$45</f>
        <v>0</v>
      </c>
      <c r="G2078" s="1">
        <f>'[1]Electricity and CHPs_NCAP'!C$45</f>
        <v>0</v>
      </c>
      <c r="H2078" s="1">
        <f>'[1]Electricity and CHPs_NCAP'!D$45</f>
        <v>0</v>
      </c>
      <c r="I2078" s="1">
        <f>'[1]Electricity and CHPs_NCAP'!E$45</f>
        <v>0</v>
      </c>
      <c r="J2078" s="1">
        <f>'[1]Electricity and CHPs_NCAP'!F$45</f>
        <v>7.2130096980904399E-6</v>
      </c>
      <c r="K2078" s="1">
        <f>'[1]Electricity and CHPs_NCAP'!G$45</f>
        <v>6.0458929776736198E-2</v>
      </c>
    </row>
    <row r="2079" spans="2:11" x14ac:dyDescent="0.35">
      <c r="B2079" s="5" t="str">
        <f t="shared" si="1295"/>
        <v>SPS3</v>
      </c>
      <c r="C2079" s="5" t="str">
        <f t="shared" si="1292"/>
        <v>CH</v>
      </c>
      <c r="D2079" t="s">
        <v>2231</v>
      </c>
      <c r="E2079" t="str">
        <f t="shared" si="1293"/>
        <v>GWe/yr.</v>
      </c>
      <c r="F2079" s="1">
        <f t="shared" ref="F2079:K2079" si="1300">SUM(F2080:F2086)</f>
        <v>0</v>
      </c>
      <c r="G2079" s="1">
        <f t="shared" si="1300"/>
        <v>4.5174860368039542E-3</v>
      </c>
      <c r="H2079" s="1">
        <f t="shared" si="1300"/>
        <v>3.6129331516427943E-2</v>
      </c>
      <c r="I2079" s="1">
        <f t="shared" si="1300"/>
        <v>7.4434600622296787E-2</v>
      </c>
      <c r="J2079" s="1">
        <f t="shared" si="1300"/>
        <v>0.18904068197205079</v>
      </c>
      <c r="K2079" s="1">
        <f t="shared" si="1300"/>
        <v>0.12436945804963569</v>
      </c>
    </row>
    <row r="2080" spans="2:11" x14ac:dyDescent="0.35">
      <c r="B2080" s="5" t="str">
        <f t="shared" si="1295"/>
        <v>SPS3</v>
      </c>
      <c r="C2080" s="5" t="str">
        <f t="shared" si="1292"/>
        <v>CH</v>
      </c>
      <c r="D2080" t="s">
        <v>2232</v>
      </c>
      <c r="E2080" t="str">
        <f t="shared" si="1293"/>
        <v>GWe/yr.</v>
      </c>
      <c r="F2080" s="1">
        <f>'[1]Electricity and CHPs_NCAP'!B$25</f>
        <v>0</v>
      </c>
      <c r="G2080" s="1">
        <f>'[1]Electricity and CHPs_NCAP'!C$25</f>
        <v>1.33232775013024E-4</v>
      </c>
      <c r="H2080" s="1">
        <f>'[1]Electricity and CHPs_NCAP'!D$25</f>
        <v>2.6473972105041099E-5</v>
      </c>
      <c r="I2080" s="1">
        <f>'[1]Electricity and CHPs_NCAP'!E$25</f>
        <v>2.8106207487311002E-2</v>
      </c>
      <c r="J2080" s="1">
        <f>'[1]Electricity and CHPs_NCAP'!F$25</f>
        <v>3.5401912173387499E-2</v>
      </c>
      <c r="K2080" s="1">
        <f>'[1]Electricity and CHPs_NCAP'!G$25</f>
        <v>3.9378834835884103E-3</v>
      </c>
    </row>
    <row r="2081" spans="2:11" x14ac:dyDescent="0.35">
      <c r="B2081" s="5" t="str">
        <f t="shared" si="1295"/>
        <v>SPS3</v>
      </c>
      <c r="C2081" s="5" t="str">
        <f t="shared" si="1292"/>
        <v>CH</v>
      </c>
      <c r="D2081" t="s">
        <v>2233</v>
      </c>
      <c r="E2081" t="str">
        <f t="shared" si="1293"/>
        <v>GWe/yr.</v>
      </c>
      <c r="F2081" s="1">
        <f>'[1]Electricity and CHPs_NCAP'!B$31</f>
        <v>0</v>
      </c>
      <c r="G2081" s="1">
        <f>'[1]Electricity and CHPs_NCAP'!C$31</f>
        <v>0</v>
      </c>
      <c r="H2081" s="1">
        <f>'[1]Electricity and CHPs_NCAP'!D$31</f>
        <v>0</v>
      </c>
      <c r="I2081" s="1">
        <f>'[1]Electricity and CHPs_NCAP'!E$31</f>
        <v>0</v>
      </c>
      <c r="J2081" s="1">
        <f>'[1]Electricity and CHPs_NCAP'!F$31</f>
        <v>4.6882121484158897E-5</v>
      </c>
      <c r="K2081" s="1">
        <f>'[1]Electricity and CHPs_NCAP'!G$31</f>
        <v>3.7677160898818798E-2</v>
      </c>
    </row>
    <row r="2082" spans="2:11" x14ac:dyDescent="0.35">
      <c r="B2082" s="5" t="str">
        <f t="shared" si="1295"/>
        <v>SPS3</v>
      </c>
      <c r="C2082" s="5" t="str">
        <f t="shared" si="1292"/>
        <v>CH</v>
      </c>
      <c r="D2082" t="s">
        <v>2234</v>
      </c>
      <c r="E2082" t="str">
        <f t="shared" si="1293"/>
        <v>GWe/yr.</v>
      </c>
      <c r="F2082" s="1">
        <f>'[1]Electricity and CHPs_NCAP'!B$42</f>
        <v>0</v>
      </c>
      <c r="G2082" s="1">
        <f>'[1]Electricity and CHPs_NCAP'!C$42</f>
        <v>4.3842532617909304E-3</v>
      </c>
      <c r="H2082" s="1">
        <f>'[1]Electricity and CHPs_NCAP'!D$42</f>
        <v>3.6102857544322901E-2</v>
      </c>
      <c r="I2082" s="1">
        <f>'[1]Electricity and CHPs_NCAP'!E$42</f>
        <v>4.5979477138806402E-2</v>
      </c>
      <c r="J2082" s="1">
        <f>'[1]Electricity and CHPs_NCAP'!F$42</f>
        <v>0.109987158961456</v>
      </c>
      <c r="K2082" s="1">
        <f>'[1]Electricity and CHPs_NCAP'!G$42</f>
        <v>1.3806795009944599E-2</v>
      </c>
    </row>
    <row r="2083" spans="2:11" x14ac:dyDescent="0.35">
      <c r="B2083" s="5" t="str">
        <f t="shared" si="1295"/>
        <v>SPS3</v>
      </c>
      <c r="C2083" s="5" t="str">
        <f t="shared" si="1292"/>
        <v>CH</v>
      </c>
      <c r="D2083" t="s">
        <v>2235</v>
      </c>
      <c r="E2083" t="str">
        <f t="shared" si="1293"/>
        <v>GWe/yr.</v>
      </c>
      <c r="F2083" s="1">
        <f>'[1]Electricity and CHPs_NCAP'!B$43</f>
        <v>0</v>
      </c>
      <c r="G2083" s="1">
        <f>'[1]Electricity and CHPs_NCAP'!C$43</f>
        <v>0</v>
      </c>
      <c r="H2083" s="1">
        <f>'[1]Electricity and CHPs_NCAP'!D$43</f>
        <v>0</v>
      </c>
      <c r="I2083" s="1">
        <f>'[1]Electricity and CHPs_NCAP'!E$43</f>
        <v>0</v>
      </c>
      <c r="J2083" s="1">
        <f>'[1]Electricity and CHPs_NCAP'!F$43</f>
        <v>4.36021052638993E-2</v>
      </c>
      <c r="K2083" s="1">
        <f>'[1]Electricity and CHPs_NCAP'!G$43</f>
        <v>6.8646404105755898E-2</v>
      </c>
    </row>
    <row r="2084" spans="2:11" x14ac:dyDescent="0.35">
      <c r="B2084" s="5" t="str">
        <f t="shared" si="1295"/>
        <v>SPS3</v>
      </c>
      <c r="C2084" s="5" t="str">
        <f t="shared" si="1292"/>
        <v>CH</v>
      </c>
      <c r="D2084" t="s">
        <v>2236</v>
      </c>
      <c r="E2084" t="str">
        <f t="shared" si="1293"/>
        <v>GWe/yr.</v>
      </c>
      <c r="F2084" s="1">
        <f>'[1]Electricity and CHPs_NCAP'!B$50</f>
        <v>0</v>
      </c>
      <c r="G2084" s="1">
        <f>'[1]Electricity and CHPs_NCAP'!C$50</f>
        <v>0</v>
      </c>
      <c r="H2084" s="1">
        <f>'[1]Electricity and CHPs_NCAP'!D$50</f>
        <v>0</v>
      </c>
      <c r="I2084" s="1">
        <f>'[1]Electricity and CHPs_NCAP'!E$50</f>
        <v>1.0139404926817649E-4</v>
      </c>
      <c r="J2084" s="1">
        <f>'[1]Electricity and CHPs_NCAP'!F$50</f>
        <v>8.4627581568712296E-7</v>
      </c>
      <c r="K2084" s="1">
        <f>'[1]Electricity and CHPs_NCAP'!G$50</f>
        <v>5.27163178894767E-5</v>
      </c>
    </row>
    <row r="2085" spans="2:11" x14ac:dyDescent="0.35">
      <c r="B2085" s="5" t="str">
        <f t="shared" si="1295"/>
        <v>SPS3</v>
      </c>
      <c r="C2085" s="5" t="str">
        <f t="shared" si="1292"/>
        <v>CH</v>
      </c>
      <c r="D2085" t="s">
        <v>2237</v>
      </c>
      <c r="E2085" t="str">
        <f t="shared" si="1293"/>
        <v>GWe/yr.</v>
      </c>
      <c r="F2085" s="1">
        <f>'[1]Electricity and CHPs_NCAP'!B$53</f>
        <v>0</v>
      </c>
      <c r="G2085" s="1">
        <f>'[1]Electricity and CHPs_NCAP'!C$53</f>
        <v>0</v>
      </c>
      <c r="H2085" s="1">
        <f>'[1]Electricity and CHPs_NCAP'!D$53</f>
        <v>0</v>
      </c>
      <c r="I2085" s="1">
        <f>'[1]Electricity and CHPs_NCAP'!E$53</f>
        <v>1.6917223636218762E-4</v>
      </c>
      <c r="J2085" s="1">
        <f>'[1]Electricity and CHPs_NCAP'!F$53</f>
        <v>1.3213122758385979E-6</v>
      </c>
      <c r="K2085" s="1">
        <f>'[1]Electricity and CHPs_NCAP'!G$53</f>
        <v>1.082440922251059E-4</v>
      </c>
    </row>
    <row r="2086" spans="2:11" x14ac:dyDescent="0.35">
      <c r="B2086" s="5" t="str">
        <f t="shared" si="1295"/>
        <v>SPS3</v>
      </c>
      <c r="C2086" s="5" t="str">
        <f t="shared" si="1292"/>
        <v>CH</v>
      </c>
      <c r="D2086" t="s">
        <v>2238</v>
      </c>
      <c r="E2086" t="str">
        <f t="shared" si="1293"/>
        <v>GWe/yr.</v>
      </c>
      <c r="F2086" s="1">
        <f>'[1]Electricity and CHPs_NCAP'!B$56</f>
        <v>0</v>
      </c>
      <c r="G2086" s="1">
        <f>'[1]Electricity and CHPs_NCAP'!C$56</f>
        <v>0</v>
      </c>
      <c r="H2086" s="1">
        <f>'[1]Electricity and CHPs_NCAP'!D$56</f>
        <v>0</v>
      </c>
      <c r="I2086" s="1">
        <f>'[1]Electricity and CHPs_NCAP'!E$56</f>
        <v>7.8349710549019896E-5</v>
      </c>
      <c r="J2086" s="1">
        <f>'[1]Electricity and CHPs_NCAP'!F$56</f>
        <v>4.5586373231606001E-7</v>
      </c>
      <c r="K2086" s="1">
        <f>'[1]Electricity and CHPs_NCAP'!G$56</f>
        <v>1.40254141413398E-4</v>
      </c>
    </row>
    <row r="2087" spans="2:11" x14ac:dyDescent="0.35">
      <c r="B2087" s="5" t="str">
        <f t="shared" si="1295"/>
        <v>SPS3</v>
      </c>
      <c r="C2087" s="5" t="str">
        <f t="shared" si="1292"/>
        <v>CH</v>
      </c>
      <c r="D2087" t="s">
        <v>2239</v>
      </c>
      <c r="E2087" t="str">
        <f t="shared" si="1293"/>
        <v>GWe/yr.</v>
      </c>
      <c r="F2087" s="1">
        <f t="shared" ref="F2087:K2087" si="1301">F2088</f>
        <v>0</v>
      </c>
      <c r="G2087" s="1">
        <f t="shared" si="1301"/>
        <v>7.1321263523495201E-3</v>
      </c>
      <c r="H2087" s="1">
        <f t="shared" si="1301"/>
        <v>0.40214549739719102</v>
      </c>
      <c r="I2087" s="1">
        <f t="shared" si="1301"/>
        <v>0.175751177709907</v>
      </c>
      <c r="J2087" s="1">
        <f t="shared" si="1301"/>
        <v>2.3533406342360899E-5</v>
      </c>
      <c r="K2087" s="1">
        <f t="shared" si="1301"/>
        <v>3.4820243220109899</v>
      </c>
    </row>
    <row r="2088" spans="2:11" x14ac:dyDescent="0.35">
      <c r="B2088" s="5" t="str">
        <f t="shared" si="1295"/>
        <v>SPS3</v>
      </c>
      <c r="C2088" s="5" t="str">
        <f t="shared" si="1292"/>
        <v>CH</v>
      </c>
      <c r="D2088" t="s">
        <v>2240</v>
      </c>
      <c r="E2088" t="str">
        <f t="shared" si="1293"/>
        <v>GWe/yr.</v>
      </c>
      <c r="F2088" s="1">
        <f>'[1]Electricity and CHPs_NCAP'!B$33</f>
        <v>0</v>
      </c>
      <c r="G2088" s="1">
        <f>'[1]Electricity and CHPs_NCAP'!C$33</f>
        <v>7.1321263523495201E-3</v>
      </c>
      <c r="H2088" s="1">
        <f>'[1]Electricity and CHPs_NCAP'!D$33</f>
        <v>0.40214549739719102</v>
      </c>
      <c r="I2088" s="1">
        <f>'[1]Electricity and CHPs_NCAP'!E$33</f>
        <v>0.175751177709907</v>
      </c>
      <c r="J2088" s="1">
        <f>'[1]Electricity and CHPs_NCAP'!F$33</f>
        <v>2.3533406342360899E-5</v>
      </c>
      <c r="K2088" s="1">
        <f>'[1]Electricity and CHPs_NCAP'!G$33</f>
        <v>3.4820243220109899</v>
      </c>
    </row>
    <row r="2089" spans="2:11" x14ac:dyDescent="0.35">
      <c r="B2089" s="5" t="str">
        <f t="shared" si="1295"/>
        <v>SPS3</v>
      </c>
      <c r="C2089" s="5" t="str">
        <f t="shared" si="1292"/>
        <v>CH</v>
      </c>
      <c r="D2089" t="s">
        <v>2241</v>
      </c>
      <c r="E2089" t="str">
        <f t="shared" si="1293"/>
        <v>GWe/yr.</v>
      </c>
      <c r="F2089" s="1">
        <f t="shared" ref="F2089:K2089" si="1302">SUM(F2090:F2094)</f>
        <v>0</v>
      </c>
      <c r="G2089" s="1">
        <f t="shared" si="1302"/>
        <v>2.8278705402587266E-5</v>
      </c>
      <c r="H2089" s="1">
        <f t="shared" si="1302"/>
        <v>4.4481096956406763</v>
      </c>
      <c r="I2089" s="1">
        <f t="shared" si="1302"/>
        <v>4.3060659415108559E-6</v>
      </c>
      <c r="J2089" s="1">
        <f t="shared" si="1302"/>
        <v>7.5849113744051548</v>
      </c>
      <c r="K2089" s="1">
        <f t="shared" si="1302"/>
        <v>15.068758700121185</v>
      </c>
    </row>
    <row r="2090" spans="2:11" x14ac:dyDescent="0.35">
      <c r="B2090" s="5" t="str">
        <f t="shared" si="1295"/>
        <v>SPS3</v>
      </c>
      <c r="C2090" s="5" t="str">
        <f t="shared" si="1292"/>
        <v>CH</v>
      </c>
      <c r="D2090" t="s">
        <v>2242</v>
      </c>
      <c r="E2090" t="str">
        <f t="shared" si="1293"/>
        <v>GWe/yr.</v>
      </c>
      <c r="F2090" s="1">
        <f>'[1]Electricity and CHPs_NCAP'!B$34</f>
        <v>0</v>
      </c>
      <c r="G2090" s="1">
        <f>'[1]Electricity and CHPs_NCAP'!C$34</f>
        <v>0</v>
      </c>
      <c r="H2090" s="1">
        <f>'[1]Electricity and CHPs_NCAP'!D$34</f>
        <v>4.4925842558885397E-2</v>
      </c>
      <c r="I2090" s="1">
        <f>'[1]Electricity and CHPs_NCAP'!E$34</f>
        <v>1.8952942641271799E-6</v>
      </c>
      <c r="J2090" s="1">
        <f>'[1]Electricity and CHPs_NCAP'!F$34</f>
        <v>1.32476731336464E-5</v>
      </c>
      <c r="K2090" s="1">
        <f>'[1]Electricity and CHPs_NCAP'!G$34</f>
        <v>1.31211364995085E-3</v>
      </c>
    </row>
    <row r="2091" spans="2:11" x14ac:dyDescent="0.35">
      <c r="B2091" s="5" t="str">
        <f t="shared" si="1295"/>
        <v>SPS3</v>
      </c>
      <c r="C2091" s="5" t="str">
        <f t="shared" si="1292"/>
        <v>CH</v>
      </c>
      <c r="D2091" t="s">
        <v>2243</v>
      </c>
      <c r="E2091" t="str">
        <f t="shared" si="1293"/>
        <v>GWe/yr.</v>
      </c>
      <c r="F2091" s="1">
        <f>'[1]Electricity and CHPs_NCAP'!B$35</f>
        <v>0</v>
      </c>
      <c r="G2091" s="1">
        <f>'[1]Electricity and CHPs_NCAP'!C$35</f>
        <v>6.6814667401421198E-8</v>
      </c>
      <c r="H2091" s="1">
        <f>'[1]Electricity and CHPs_NCAP'!D$35</f>
        <v>1.76796690985629</v>
      </c>
      <c r="I2091" s="1">
        <f>'[1]Electricity and CHPs_NCAP'!E$35</f>
        <v>5.54725179885903E-7</v>
      </c>
      <c r="J2091" s="1">
        <f>'[1]Electricity and CHPs_NCAP'!F$35</f>
        <v>6.1399710023583296</v>
      </c>
      <c r="K2091" s="1">
        <f>'[1]Electricity and CHPs_NCAP'!G$35</f>
        <v>9.7280607971935407</v>
      </c>
    </row>
    <row r="2092" spans="2:11" x14ac:dyDescent="0.35">
      <c r="B2092" s="5" t="str">
        <f t="shared" si="1295"/>
        <v>SPS3</v>
      </c>
      <c r="C2092" s="5" t="str">
        <f t="shared" si="1292"/>
        <v>CH</v>
      </c>
      <c r="D2092" t="s">
        <v>2244</v>
      </c>
      <c r="E2092" t="str">
        <f t="shared" si="1293"/>
        <v>GWe/yr.</v>
      </c>
      <c r="F2092" s="1">
        <f>'[1]Electricity and CHPs_NCAP'!B$36</f>
        <v>0</v>
      </c>
      <c r="G2092" s="1">
        <f>'[1]Electricity and CHPs_NCAP'!C$36</f>
        <v>1.336344858397307E-5</v>
      </c>
      <c r="H2092" s="1">
        <f>'[1]Electricity and CHPs_NCAP'!D$36</f>
        <v>1.6461656373562468E-3</v>
      </c>
      <c r="I2092" s="1">
        <f>'[1]Electricity and CHPs_NCAP'!E$36</f>
        <v>5.7925223210785699E-7</v>
      </c>
      <c r="J2092" s="1">
        <f>'[1]Electricity and CHPs_NCAP'!F$36</f>
        <v>1.2033971230755048E-4</v>
      </c>
      <c r="K2092" s="1">
        <f>'[1]Electricity and CHPs_NCAP'!G$36</f>
        <v>4.8691838736205605E-3</v>
      </c>
    </row>
    <row r="2093" spans="2:11" x14ac:dyDescent="0.35">
      <c r="B2093" s="5" t="str">
        <f t="shared" si="1295"/>
        <v>SPS3</v>
      </c>
      <c r="C2093" s="5" t="str">
        <f t="shared" si="1292"/>
        <v>CH</v>
      </c>
      <c r="D2093" t="s">
        <v>2245</v>
      </c>
      <c r="E2093" t="str">
        <f t="shared" si="1293"/>
        <v>GWe/yr.</v>
      </c>
      <c r="F2093" s="1">
        <f>'[1]Electricity and CHPs_NCAP'!B$37</f>
        <v>0</v>
      </c>
      <c r="G2093" s="1">
        <f>'[1]Electricity and CHPs_NCAP'!C$37</f>
        <v>1.4786234976242098E-5</v>
      </c>
      <c r="H2093" s="1">
        <f>'[1]Electricity and CHPs_NCAP'!D$37</f>
        <v>0.62899584309904411</v>
      </c>
      <c r="I2093" s="1">
        <f>'[1]Electricity and CHPs_NCAP'!E$37</f>
        <v>8.3770842577466394E-7</v>
      </c>
      <c r="J2093" s="1">
        <f>'[1]Electricity and CHPs_NCAP'!F$37</f>
        <v>0.28400827396172373</v>
      </c>
      <c r="K2093" s="1">
        <f>'[1]Electricity and CHPs_NCAP'!G$37</f>
        <v>0.943563396299264</v>
      </c>
    </row>
    <row r="2094" spans="2:11" x14ac:dyDescent="0.35">
      <c r="B2094" s="5" t="str">
        <f t="shared" si="1295"/>
        <v>SPS3</v>
      </c>
      <c r="C2094" s="5" t="str">
        <f t="shared" si="1292"/>
        <v>CH</v>
      </c>
      <c r="D2094" t="s">
        <v>2246</v>
      </c>
      <c r="E2094" t="str">
        <f t="shared" si="1293"/>
        <v>GWe/yr.</v>
      </c>
      <c r="F2094" s="1">
        <f>'[1]Electricity and CHPs_NCAP'!B$38</f>
        <v>0</v>
      </c>
      <c r="G2094" s="1">
        <f>'[1]Electricity and CHPs_NCAP'!C$38</f>
        <v>6.2207174970676601E-8</v>
      </c>
      <c r="H2094" s="1">
        <f>'[1]Electricity and CHPs_NCAP'!D$38</f>
        <v>2.0045749344891002</v>
      </c>
      <c r="I2094" s="1">
        <f>'[1]Electricity and CHPs_NCAP'!E$38</f>
        <v>4.3908583961525201E-7</v>
      </c>
      <c r="J2094" s="1">
        <f>'[1]Electricity and CHPs_NCAP'!F$38</f>
        <v>1.1607985106996599</v>
      </c>
      <c r="K2094" s="1">
        <f>'[1]Electricity and CHPs_NCAP'!G$38</f>
        <v>4.3909532091048096</v>
      </c>
    </row>
    <row r="2095" spans="2:11" x14ac:dyDescent="0.35">
      <c r="B2095" s="5" t="str">
        <f t="shared" si="1295"/>
        <v>SPS3</v>
      </c>
      <c r="C2095" s="5" t="str">
        <f t="shared" si="1292"/>
        <v>CH</v>
      </c>
      <c r="D2095" t="s">
        <v>2247</v>
      </c>
      <c r="E2095" t="str">
        <f t="shared" si="1293"/>
        <v>GWe/yr.</v>
      </c>
      <c r="F2095" s="1">
        <f>'[1]Electricity and CHPs_NCAP'!B$32</f>
        <v>0</v>
      </c>
      <c r="G2095" s="1">
        <f>'[1]Electricity and CHPs_NCAP'!C$32</f>
        <v>0</v>
      </c>
      <c r="H2095" s="1">
        <f>'[1]Electricity and CHPs_NCAP'!D$32</f>
        <v>0</v>
      </c>
      <c r="I2095" s="1">
        <f>'[1]Electricity and CHPs_NCAP'!E$32</f>
        <v>0</v>
      </c>
      <c r="J2095" s="1">
        <f>'[1]Electricity and CHPs_NCAP'!F$32</f>
        <v>8.4653024011769996E-7</v>
      </c>
      <c r="K2095" s="1">
        <f>'[1]Electricity and CHPs_NCAP'!G$32</f>
        <v>8.7014613726761695E-8</v>
      </c>
    </row>
    <row r="2096" spans="2:11" x14ac:dyDescent="0.35">
      <c r="B2096" s="5" t="str">
        <f t="shared" si="1295"/>
        <v>SPS3</v>
      </c>
      <c r="C2096" s="5" t="str">
        <f t="shared" si="1292"/>
        <v>CH</v>
      </c>
      <c r="D2096" t="s">
        <v>2248</v>
      </c>
      <c r="E2096" t="str">
        <f t="shared" si="1293"/>
        <v>GWe/yr.</v>
      </c>
      <c r="F2096" s="1">
        <f t="shared" si="1293"/>
        <v>0</v>
      </c>
      <c r="G2096" s="1">
        <f t="shared" si="1293"/>
        <v>0</v>
      </c>
      <c r="H2096" s="1">
        <f t="shared" si="1293"/>
        <v>0</v>
      </c>
      <c r="I2096" s="1">
        <f t="shared" si="1293"/>
        <v>0</v>
      </c>
      <c r="J2096" s="1">
        <f t="shared" si="1293"/>
        <v>8.4653024011769996E-7</v>
      </c>
      <c r="K2096" s="1">
        <f t="shared" si="1293"/>
        <v>8.7014613726761695E-8</v>
      </c>
    </row>
    <row r="2097" spans="2:11" x14ac:dyDescent="0.35">
      <c r="B2097" s="5" t="str">
        <f t="shared" si="1295"/>
        <v>SPS3</v>
      </c>
      <c r="C2097" s="5" t="str">
        <f t="shared" si="1292"/>
        <v>CH</v>
      </c>
      <c r="D2097" t="s">
        <v>2249</v>
      </c>
      <c r="E2097" t="str">
        <f t="shared" ref="E2097:E2108" si="1303">E2096</f>
        <v>GWe/yr.</v>
      </c>
      <c r="F2097" s="1">
        <f t="shared" ref="F2097:K2097" si="1304">SUM(F2098:F2100)</f>
        <v>0</v>
      </c>
      <c r="G2097" s="1">
        <f t="shared" si="1304"/>
        <v>0</v>
      </c>
      <c r="H2097" s="1">
        <f t="shared" si="1304"/>
        <v>0</v>
      </c>
      <c r="I2097" s="1">
        <f t="shared" si="1304"/>
        <v>2.0786880176428099E-4</v>
      </c>
      <c r="J2097" s="1">
        <f t="shared" si="1304"/>
        <v>2.058614680780119E-4</v>
      </c>
      <c r="K2097" s="1">
        <f t="shared" si="1304"/>
        <v>0.1569382325883798</v>
      </c>
    </row>
    <row r="2098" spans="2:11" x14ac:dyDescent="0.35">
      <c r="B2098" s="5" t="str">
        <f t="shared" si="1295"/>
        <v>SPS3</v>
      </c>
      <c r="C2098" s="5" t="str">
        <f t="shared" si="1292"/>
        <v>CH</v>
      </c>
      <c r="D2098" t="s">
        <v>2250</v>
      </c>
      <c r="E2098" t="str">
        <f t="shared" si="1303"/>
        <v>GWe/yr.</v>
      </c>
      <c r="F2098" s="1">
        <f>'[1]Electricity and CHPs_NCAP'!B$30</f>
        <v>0</v>
      </c>
      <c r="G2098" s="1">
        <f>'[1]Electricity and CHPs_NCAP'!C$30</f>
        <v>0</v>
      </c>
      <c r="H2098" s="1">
        <f>'[1]Electricity and CHPs_NCAP'!D$30</f>
        <v>0</v>
      </c>
      <c r="I2098" s="1">
        <f>'[1]Electricity and CHPs_NCAP'!E$30</f>
        <v>0</v>
      </c>
      <c r="J2098" s="1">
        <f>'[1]Electricity and CHPs_NCAP'!F$30</f>
        <v>2.0430331424569099E-4</v>
      </c>
      <c r="K2098" s="1">
        <f>'[1]Electricity and CHPs_NCAP'!G$30</f>
        <v>2.2140444503911501E-6</v>
      </c>
    </row>
    <row r="2099" spans="2:11" x14ac:dyDescent="0.35">
      <c r="B2099" s="5" t="str">
        <f t="shared" si="1295"/>
        <v>SPS3</v>
      </c>
      <c r="C2099" s="5" t="str">
        <f t="shared" si="1292"/>
        <v>CH</v>
      </c>
      <c r="D2099" t="s">
        <v>2251</v>
      </c>
      <c r="E2099" t="str">
        <f t="shared" si="1303"/>
        <v>GWe/yr.</v>
      </c>
      <c r="F2099" s="1">
        <f>'[1]Electricity and CHPs_NCAP'!B$46</f>
        <v>0</v>
      </c>
      <c r="G2099" s="1">
        <f>'[1]Electricity and CHPs_NCAP'!C$46</f>
        <v>0</v>
      </c>
      <c r="H2099" s="1">
        <f>'[1]Electricity and CHPs_NCAP'!D$46</f>
        <v>0</v>
      </c>
      <c r="I2099" s="1">
        <f>'[1]Electricity and CHPs_NCAP'!E$46</f>
        <v>0</v>
      </c>
      <c r="J2099" s="1">
        <f>'[1]Electricity and CHPs_NCAP'!F$46</f>
        <v>1.13182907966579E-6</v>
      </c>
      <c r="K2099" s="1">
        <f>'[1]Electricity and CHPs_NCAP'!G$46</f>
        <v>0.15495355151048201</v>
      </c>
    </row>
    <row r="2100" spans="2:11" x14ac:dyDescent="0.35">
      <c r="B2100" s="5" t="str">
        <f t="shared" si="1295"/>
        <v>SPS3</v>
      </c>
      <c r="C2100" s="5" t="str">
        <f t="shared" si="1292"/>
        <v>CH</v>
      </c>
      <c r="D2100" t="s">
        <v>2252</v>
      </c>
      <c r="E2100" t="str">
        <f t="shared" si="1303"/>
        <v>GWe/yr.</v>
      </c>
      <c r="F2100" s="1">
        <f>'[1]Electricity and CHPs_NCAP'!B$57</f>
        <v>0</v>
      </c>
      <c r="G2100" s="1">
        <f>'[1]Electricity and CHPs_NCAP'!C$57</f>
        <v>0</v>
      </c>
      <c r="H2100" s="1">
        <f>'[1]Electricity and CHPs_NCAP'!D$57</f>
        <v>0</v>
      </c>
      <c r="I2100" s="1">
        <f>'[1]Electricity and CHPs_NCAP'!E$57</f>
        <v>2.0786880176428099E-4</v>
      </c>
      <c r="J2100" s="1">
        <f>'[1]Electricity and CHPs_NCAP'!F$57</f>
        <v>4.2632475265511799E-7</v>
      </c>
      <c r="K2100" s="1">
        <f>'[1]Electricity and CHPs_NCAP'!G$57</f>
        <v>1.9824670334474001E-3</v>
      </c>
    </row>
    <row r="2101" spans="2:11" x14ac:dyDescent="0.35">
      <c r="B2101" s="5" t="str">
        <f t="shared" si="1295"/>
        <v>SPS3</v>
      </c>
      <c r="C2101" s="5" t="str">
        <f t="shared" si="1292"/>
        <v>CH</v>
      </c>
      <c r="D2101" t="s">
        <v>2253</v>
      </c>
      <c r="E2101" t="str">
        <f t="shared" si="1303"/>
        <v>GWe/yr.</v>
      </c>
      <c r="F2101" s="1">
        <f t="shared" ref="F2101:K2101" si="1305">SUM(F2102:F2108)</f>
        <v>9.175913222717531E-3</v>
      </c>
      <c r="G2101" s="1">
        <f t="shared" si="1305"/>
        <v>1.4967831616921562E-5</v>
      </c>
      <c r="H2101" s="1">
        <f t="shared" si="1305"/>
        <v>4.3212179619102455E-5</v>
      </c>
      <c r="I2101" s="1">
        <f t="shared" si="1305"/>
        <v>9.2467133203885249E-2</v>
      </c>
      <c r="J2101" s="1">
        <f t="shared" si="1305"/>
        <v>0.30276920543226282</v>
      </c>
      <c r="K2101" s="1">
        <f t="shared" si="1305"/>
        <v>1.3986249118859129</v>
      </c>
    </row>
    <row r="2102" spans="2:11" x14ac:dyDescent="0.35">
      <c r="B2102" s="5" t="str">
        <f t="shared" si="1295"/>
        <v>SPS3</v>
      </c>
      <c r="C2102" s="5" t="str">
        <f t="shared" si="1292"/>
        <v>CH</v>
      </c>
      <c r="D2102" t="s">
        <v>2254</v>
      </c>
      <c r="E2102" t="str">
        <f t="shared" si="1303"/>
        <v>GWe/yr.</v>
      </c>
      <c r="F2102" s="1">
        <f>'[1]Electricity and CHPs_NCAP'!B$63</f>
        <v>0</v>
      </c>
      <c r="G2102" s="1">
        <f>'[1]Electricity and CHPs_NCAP'!C$63</f>
        <v>8.8086694527245202E-7</v>
      </c>
      <c r="H2102" s="1">
        <f>'[1]Electricity and CHPs_NCAP'!D$63</f>
        <v>9.2214835615645599E-7</v>
      </c>
      <c r="I2102" s="1">
        <f>'[1]Electricity and CHPs_NCAP'!E$63</f>
        <v>9.20395587004317E-7</v>
      </c>
      <c r="J2102" s="1">
        <f>'[1]Electricity and CHPs_NCAP'!F$63</f>
        <v>2.2068251217380001E-6</v>
      </c>
      <c r="K2102" s="1">
        <f>'[1]Electricity and CHPs_NCAP'!G$63</f>
        <v>1.433617195125E-6</v>
      </c>
    </row>
    <row r="2103" spans="2:11" x14ac:dyDescent="0.35">
      <c r="B2103" s="5" t="str">
        <f t="shared" si="1295"/>
        <v>SPS3</v>
      </c>
      <c r="C2103" s="5" t="str">
        <f t="shared" si="1292"/>
        <v>CH</v>
      </c>
      <c r="D2103" t="s">
        <v>2255</v>
      </c>
      <c r="E2103" t="str">
        <f t="shared" si="1303"/>
        <v>GWe/yr.</v>
      </c>
      <c r="F2103" s="1">
        <f>'[1]Electricity and CHPs_NCAP'!B$64</f>
        <v>1.4145276796094901E-3</v>
      </c>
      <c r="G2103" s="1">
        <f>'[1]Electricity and CHPs_NCAP'!C$64</f>
        <v>1.87926450213563E-6</v>
      </c>
      <c r="H2103" s="1">
        <f>'[1]Electricity and CHPs_NCAP'!D$64</f>
        <v>3.2638194789854599E-6</v>
      </c>
      <c r="I2103" s="1">
        <f>'[1]Electricity and CHPs_NCAP'!E$64</f>
        <v>2.87990732065858E-6</v>
      </c>
      <c r="J2103" s="1">
        <f>'[1]Electricity and CHPs_NCAP'!F$64</f>
        <v>0.15677825371783899</v>
      </c>
      <c r="K2103" s="1">
        <f>'[1]Electricity and CHPs_NCAP'!G$64</f>
        <v>0.82121567538555396</v>
      </c>
    </row>
    <row r="2104" spans="2:11" x14ac:dyDescent="0.35">
      <c r="B2104" s="5" t="str">
        <f t="shared" si="1295"/>
        <v>SPS3</v>
      </c>
      <c r="C2104" s="5" t="str">
        <f t="shared" si="1292"/>
        <v>CH</v>
      </c>
      <c r="D2104" t="s">
        <v>2256</v>
      </c>
      <c r="E2104" t="str">
        <f t="shared" si="1303"/>
        <v>GWe/yr.</v>
      </c>
      <c r="F2104" s="1">
        <f>'[1]Electricity and CHPs_NCAP'!B$65</f>
        <v>1.1729823416424001E-3</v>
      </c>
      <c r="G2104" s="1">
        <f>'[1]Electricity and CHPs_NCAP'!C$65</f>
        <v>1.7639905811766301E-6</v>
      </c>
      <c r="H2104" s="1">
        <f>'[1]Electricity and CHPs_NCAP'!D$65</f>
        <v>7.9068179204781493E-6</v>
      </c>
      <c r="I2104" s="1">
        <f>'[1]Electricity and CHPs_NCAP'!E$65</f>
        <v>3.73496349617104E-4</v>
      </c>
      <c r="J2104" s="1">
        <f>'[1]Electricity and CHPs_NCAP'!F$65</f>
        <v>3.4829391741416798E-3</v>
      </c>
      <c r="K2104" s="1">
        <f>'[1]Electricity and CHPs_NCAP'!G$65</f>
        <v>0.34863497822676898</v>
      </c>
    </row>
    <row r="2105" spans="2:11" x14ac:dyDescent="0.35">
      <c r="B2105" s="5" t="str">
        <f t="shared" si="1295"/>
        <v>SPS3</v>
      </c>
      <c r="C2105" s="5" t="str">
        <f t="shared" si="1292"/>
        <v>CH</v>
      </c>
      <c r="D2105" t="s">
        <v>2257</v>
      </c>
      <c r="E2105" t="str">
        <f t="shared" si="1303"/>
        <v>GWe/yr.</v>
      </c>
      <c r="F2105" s="1">
        <f>'[1]Electricity and CHPs_NCAP'!B$66</f>
        <v>1.09631568449253E-3</v>
      </c>
      <c r="G2105" s="1">
        <f>'[1]Electricity and CHPs_NCAP'!C$66</f>
        <v>1.74109374025393E-6</v>
      </c>
      <c r="H2105" s="1">
        <f>'[1]Electricity and CHPs_NCAP'!D$66</f>
        <v>5.3573733287923497E-6</v>
      </c>
      <c r="I2105" s="1">
        <f>'[1]Electricity and CHPs_NCAP'!E$66</f>
        <v>1.85648710825339E-2</v>
      </c>
      <c r="J2105" s="1">
        <f>'[1]Electricity and CHPs_NCAP'!F$66</f>
        <v>8.1275864642790605E-3</v>
      </c>
      <c r="K2105" s="1">
        <f>'[1]Electricity and CHPs_NCAP'!G$66</f>
        <v>2.6823460046397601E-2</v>
      </c>
    </row>
    <row r="2106" spans="2:11" x14ac:dyDescent="0.35">
      <c r="B2106" s="5" t="str">
        <f t="shared" si="1295"/>
        <v>SPS3</v>
      </c>
      <c r="C2106" s="5" t="str">
        <f t="shared" si="1292"/>
        <v>CH</v>
      </c>
      <c r="D2106" t="s">
        <v>2258</v>
      </c>
      <c r="E2106" t="str">
        <f t="shared" si="1303"/>
        <v>GWe/yr.</v>
      </c>
      <c r="F2106" s="1">
        <f>'[1]Electricity and CHPs_NCAP'!B$67</f>
        <v>2.1963245541199799E-3</v>
      </c>
      <c r="G2106" s="1">
        <f>'[1]Electricity and CHPs_NCAP'!C$67</f>
        <v>3.4791810886842901E-6</v>
      </c>
      <c r="H2106" s="1">
        <f>'[1]Electricity and CHPs_NCAP'!D$67</f>
        <v>1.0279673449250101E-5</v>
      </c>
      <c r="I2106" s="1">
        <f>'[1]Electricity and CHPs_NCAP'!E$67</f>
        <v>2.7317352146264299E-2</v>
      </c>
      <c r="J2106" s="1">
        <f>'[1]Electricity and CHPs_NCAP'!F$67</f>
        <v>4.99234287279961E-2</v>
      </c>
      <c r="K2106" s="1">
        <f>'[1]Electricity and CHPs_NCAP'!G$67</f>
        <v>8.0325811704809097E-2</v>
      </c>
    </row>
    <row r="2107" spans="2:11" x14ac:dyDescent="0.35">
      <c r="B2107" s="5" t="str">
        <f t="shared" si="1295"/>
        <v>SPS3</v>
      </c>
      <c r="C2107" s="5" t="str">
        <f t="shared" si="1292"/>
        <v>CH</v>
      </c>
      <c r="D2107" t="s">
        <v>2259</v>
      </c>
      <c r="E2107" t="str">
        <f t="shared" si="1303"/>
        <v>GWe/yr.</v>
      </c>
      <c r="F2107" s="1">
        <f>'[1]Electricity and CHPs_NCAP'!B$68</f>
        <v>2.1958032460133699E-3</v>
      </c>
      <c r="G2107" s="1">
        <f>'[1]Electricity and CHPs_NCAP'!C$68</f>
        <v>3.4783883289549501E-6</v>
      </c>
      <c r="H2107" s="1">
        <f>'[1]Electricity and CHPs_NCAP'!D$68</f>
        <v>1.0156105168889181E-5</v>
      </c>
      <c r="I2107" s="1">
        <f>'[1]Electricity and CHPs_NCAP'!E$68</f>
        <v>2.7761102586790098E-2</v>
      </c>
      <c r="J2107" s="1">
        <f>'[1]Electricity and CHPs_NCAP'!F$68</f>
        <v>5.4727625124135204E-2</v>
      </c>
      <c r="K2107" s="1">
        <f>'[1]Electricity and CHPs_NCAP'!G$68</f>
        <v>7.8034495222500999E-2</v>
      </c>
    </row>
    <row r="2108" spans="2:11" x14ac:dyDescent="0.35">
      <c r="B2108" s="5" t="str">
        <f t="shared" si="1295"/>
        <v>SPS3</v>
      </c>
      <c r="C2108" s="5" t="str">
        <f t="shared" si="1292"/>
        <v>CH</v>
      </c>
      <c r="D2108" t="s">
        <v>2260</v>
      </c>
      <c r="E2108" t="str">
        <f t="shared" si="1303"/>
        <v>GWe/yr.</v>
      </c>
      <c r="F2108" s="1">
        <f>'[1]Electricity and CHPs_NCAP'!B$69</f>
        <v>1.09995971683976E-3</v>
      </c>
      <c r="G2108" s="1">
        <f>'[1]Electricity and CHPs_NCAP'!C$69</f>
        <v>1.74504643044368E-6</v>
      </c>
      <c r="H2108" s="1">
        <f>'[1]Electricity and CHPs_NCAP'!D$69</f>
        <v>5.3262419165507602E-6</v>
      </c>
      <c r="I2108" s="1">
        <f>'[1]Electricity and CHPs_NCAP'!E$69</f>
        <v>1.8446510735772199E-2</v>
      </c>
      <c r="J2108" s="1">
        <f>'[1]Electricity and CHPs_NCAP'!F$69</f>
        <v>2.9727165398750099E-2</v>
      </c>
      <c r="K2108" s="1">
        <f>'[1]Electricity and CHPs_NCAP'!G$69</f>
        <v>4.3589057682686998E-2</v>
      </c>
    </row>
    <row r="2109" spans="2:11" x14ac:dyDescent="0.35">
      <c r="B2109" s="5" t="str">
        <f>B2108</f>
        <v>SPS3</v>
      </c>
      <c r="C2109" s="5" t="str">
        <f t="shared" si="1292"/>
        <v>CH</v>
      </c>
      <c r="D2109" s="2" t="s">
        <v>2182</v>
      </c>
      <c r="E2109" s="2" t="s">
        <v>1973</v>
      </c>
      <c r="F2109" s="3">
        <f t="shared" ref="F2109:K2109" si="1306">SUM(F2110:F2159)</f>
        <v>5.312811906024482E-4</v>
      </c>
      <c r="G2109" s="3">
        <f t="shared" si="1306"/>
        <v>0.48213165456106222</v>
      </c>
      <c r="H2109" s="3">
        <f t="shared" si="1306"/>
        <v>0.86812526303291038</v>
      </c>
      <c r="I2109" s="3">
        <f t="shared" si="1306"/>
        <v>2.0686502840820027</v>
      </c>
      <c r="J2109" s="3">
        <f t="shared" si="1306"/>
        <v>2.1068715435435199</v>
      </c>
      <c r="K2109" s="3">
        <f t="shared" si="1306"/>
        <v>4.7646740567989045</v>
      </c>
    </row>
    <row r="2110" spans="2:11" x14ac:dyDescent="0.35">
      <c r="B2110" s="5" t="str">
        <f t="shared" ref="B2110:B2173" si="1307">B2109</f>
        <v>SPS3</v>
      </c>
      <c r="C2110" s="5" t="str">
        <f t="shared" ref="C2110:C2173" si="1308">C2109</f>
        <v>CH</v>
      </c>
      <c r="D2110" t="s">
        <v>2261</v>
      </c>
      <c r="E2110" t="str">
        <f t="shared" ref="E2110:E2159" si="1309">E2109</f>
        <v>Million</v>
      </c>
      <c r="F2110" s="1" cm="1">
        <f t="array" ref="F2110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0" s="1" cm="1">
        <f t="array" ref="G2110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0" s="1" cm="1">
        <f t="array" ref="H2110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0" s="1" cm="1">
        <f t="array" ref="I2110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0" s="1" cm="1">
        <f t="array" ref="J2110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0" s="1" cm="1">
        <f t="array" ref="K2110">SUMPRODUCT(("var_ncap"=[1]OUT_TransportEnergyCons!$B$4:$B$10000)*1,("-"=[1]OUT_TransportEnergyCons!$C$4:$C$10000)*1,ISNUMBER(SEARCH("T_C*bat*ext",[1]OUT_TransportEnergyCons!$A$4:$A$10000))*1,[1]OUT_TransportEnergyCons!I$4:I$10000)</f>
        <v>0</v>
      </c>
    </row>
    <row r="2111" spans="2:11" x14ac:dyDescent="0.35">
      <c r="B2111" s="5" t="str">
        <f t="shared" si="1307"/>
        <v>SPS3</v>
      </c>
      <c r="C2111" s="5" t="str">
        <f t="shared" si="1308"/>
        <v>CH</v>
      </c>
      <c r="D2111" t="s">
        <v>2262</v>
      </c>
      <c r="E2111" t="str">
        <f t="shared" si="1309"/>
        <v>Million</v>
      </c>
      <c r="F2111" s="1" cm="1">
        <f t="array" ref="F2111">SUMPRODUCT(("var_ncap"=[1]OUT_TransportEnergyCons!$B$4:$B$10000)*1,("-"=[1]OUT_TransportEnergyCons!$C$4:$C$10000)*1,ISNUMBER(SEARCH("T_C*bat*s1",[1]OUT_TransportEnergyCons!$A$4:$A$10000))*1,[1]OUT_TransportEnergyCons!D$4:D$10000)</f>
        <v>1.65618171512019E-4</v>
      </c>
      <c r="G2111" s="1" cm="1">
        <f t="array" ref="G2111">SUMPRODUCT(("var_ncap"=[1]OUT_TransportEnergyCons!$B$4:$B$10000)*1,("-"=[1]OUT_TransportEnergyCons!$C$4:$C$10000)*1,ISNUMBER(SEARCH("T_C*bat*s1",[1]OUT_TransportEnergyCons!$A$4:$A$10000))*1,[1]OUT_TransportEnergyCons!E$4:E$10000)</f>
        <v>3.4928011718164198E-3</v>
      </c>
      <c r="H2111" s="1" cm="1">
        <f t="array" ref="H2111">SUMPRODUCT(("var_ncap"=[1]OUT_TransportEnergyCons!$B$4:$B$10000)*1,("-"=[1]OUT_TransportEnergyCons!$C$4:$C$10000)*1,ISNUMBER(SEARCH("T_C*bat*s1",[1]OUT_TransportEnergyCons!$A$4:$A$10000))*1,[1]OUT_TransportEnergyCons!F$4:F$10000)</f>
        <v>1.6576187869872601E-3</v>
      </c>
      <c r="I2111" s="1" cm="1">
        <f t="array" ref="I2111">SUMPRODUCT(("var_ncap"=[1]OUT_TransportEnergyCons!$B$4:$B$10000)*1,("-"=[1]OUT_TransportEnergyCons!$C$4:$C$10000)*1,ISNUMBER(SEARCH("T_C*bat*s1",[1]OUT_TransportEnergyCons!$A$4:$A$10000))*1,[1]OUT_TransportEnergyCons!G$4:G$10000)</f>
        <v>4.0858718777449698E-4</v>
      </c>
      <c r="J2111" s="1" cm="1">
        <f t="array" ref="J2111">SUMPRODUCT(("var_ncap"=[1]OUT_TransportEnergyCons!$B$4:$B$10000)*1,("-"=[1]OUT_TransportEnergyCons!$C$4:$C$10000)*1,ISNUMBER(SEARCH("T_C*bat*s1",[1]OUT_TransportEnergyCons!$A$4:$A$10000))*1,[1]OUT_TransportEnergyCons!H$4:H$10000)</f>
        <v>5.2159671816667905E-4</v>
      </c>
      <c r="K2111" s="1" cm="1">
        <f t="array" ref="K2111">SUMPRODUCT(("var_ncap"=[1]OUT_TransportEnergyCons!$B$4:$B$10000)*1,("-"=[1]OUT_TransportEnergyCons!$C$4:$C$10000)*1,ISNUMBER(SEARCH("T_C*bat*s1",[1]OUT_TransportEnergyCons!$A$4:$A$10000))*1,[1]OUT_TransportEnergyCons!I$4:I$10000)</f>
        <v>0.43516098944877202</v>
      </c>
    </row>
    <row r="2112" spans="2:11" x14ac:dyDescent="0.35">
      <c r="B2112" s="5" t="str">
        <f t="shared" si="1307"/>
        <v>SPS3</v>
      </c>
      <c r="C2112" s="5" t="str">
        <f t="shared" si="1308"/>
        <v>CH</v>
      </c>
      <c r="D2112" t="s">
        <v>2263</v>
      </c>
      <c r="E2112" t="str">
        <f t="shared" si="1309"/>
        <v>Million</v>
      </c>
      <c r="F2112" s="1" cm="1">
        <f t="array" ref="F2112">SUMPRODUCT(("var_ncap"=[1]OUT_TransportEnergyCons!$B$4:$B$10000)*1,("-"=[1]OUT_TransportEnergyCons!$C$4:$C$10000)*1,ISNUMBER(SEARCH("T_C*bat*s2",[1]OUT_TransportEnergyCons!$A$4:$A$10000))*1,[1]OUT_TransportEnergyCons!D$4:D$10000)</f>
        <v>9.7121880315283906E-5</v>
      </c>
      <c r="G2112" s="1" cm="1">
        <f t="array" ref="G2112">SUMPRODUCT(("var_ncap"=[1]OUT_TransportEnergyCons!$B$4:$B$10000)*1,("-"=[1]OUT_TransportEnergyCons!$C$4:$C$10000)*1,ISNUMBER(SEARCH("T_C*bat*s2",[1]OUT_TransportEnergyCons!$A$4:$A$10000))*1,[1]OUT_TransportEnergyCons!E$4:E$10000)</f>
        <v>4.3274785364663199E-4</v>
      </c>
      <c r="H2112" s="1" cm="1">
        <f t="array" ref="H2112">SUMPRODUCT(("var_ncap"=[1]OUT_TransportEnergyCons!$B$4:$B$10000)*1,("-"=[1]OUT_TransportEnergyCons!$C$4:$C$10000)*1,ISNUMBER(SEARCH("T_C*bat*s2",[1]OUT_TransportEnergyCons!$A$4:$A$10000))*1,[1]OUT_TransportEnergyCons!F$4:F$10000)</f>
        <v>3.1600110470808699E-3</v>
      </c>
      <c r="I2112" s="1" cm="1">
        <f t="array" ref="I2112">SUMPRODUCT(("var_ncap"=[1]OUT_TransportEnergyCons!$B$4:$B$10000)*1,("-"=[1]OUT_TransportEnergyCons!$C$4:$C$10000)*1,ISNUMBER(SEARCH("T_C*bat*s2",[1]OUT_TransportEnergyCons!$A$4:$A$10000))*1,[1]OUT_TransportEnergyCons!G$4:G$10000)</f>
        <v>1.6560451613904399E-3</v>
      </c>
      <c r="J2112" s="1" cm="1">
        <f t="array" ref="J2112">SUMPRODUCT(("var_ncap"=[1]OUT_TransportEnergyCons!$B$4:$B$10000)*1,("-"=[1]OUT_TransportEnergyCons!$C$4:$C$10000)*1,ISNUMBER(SEARCH("T_C*bat*s2",[1]OUT_TransportEnergyCons!$A$4:$A$10000))*1,[1]OUT_TransportEnergyCons!H$4:H$10000)</f>
        <v>0.62344791788256304</v>
      </c>
      <c r="K2112" s="1" cm="1">
        <f t="array" ref="K2112">SUMPRODUCT(("var_ncap"=[1]OUT_TransportEnergyCons!$B$4:$B$10000)*1,("-"=[1]OUT_TransportEnergyCons!$C$4:$C$10000)*1,ISNUMBER(SEARCH("T_C*bat*s2",[1]OUT_TransportEnergyCons!$A$4:$A$10000))*1,[1]OUT_TransportEnergyCons!I$4:I$10000)</f>
        <v>1.53140775136666</v>
      </c>
    </row>
    <row r="2113" spans="2:11" x14ac:dyDescent="0.35">
      <c r="B2113" s="5" t="str">
        <f t="shared" si="1307"/>
        <v>SPS3</v>
      </c>
      <c r="C2113" s="5" t="str">
        <f t="shared" si="1308"/>
        <v>CH</v>
      </c>
      <c r="D2113" t="s">
        <v>2264</v>
      </c>
      <c r="E2113" t="str">
        <f t="shared" si="1309"/>
        <v>Million</v>
      </c>
      <c r="F2113" s="1" cm="1">
        <f t="array" ref="F2113">SUMPRODUCT(("var_ncap"=[1]OUT_TransportEnergyCons!$B$4:$B$10000)*1,("-"=[1]OUT_TransportEnergyCons!$C$4:$C$10000)*1,ISNUMBER(SEARCH("T_C*bat*s3",[1]OUT_TransportEnergyCons!$A$4:$A$10000))*1,[1]OUT_TransportEnergyCons!D$4:D$10000)</f>
        <v>9.5817688532259305E-5</v>
      </c>
      <c r="G2113" s="1" cm="1">
        <f t="array" ref="G2113">SUMPRODUCT(("var_ncap"=[1]OUT_TransportEnergyCons!$B$4:$B$10000)*1,("-"=[1]OUT_TransportEnergyCons!$C$4:$C$10000)*1,ISNUMBER(SEARCH("T_C*bat*s3",[1]OUT_TransportEnergyCons!$A$4:$A$10000))*1,[1]OUT_TransportEnergyCons!E$4:E$10000)</f>
        <v>2.6243656443715501E-3</v>
      </c>
      <c r="H2113" s="1" cm="1">
        <f t="array" ref="H2113">SUMPRODUCT(("var_ncap"=[1]OUT_TransportEnergyCons!$B$4:$B$10000)*1,("-"=[1]OUT_TransportEnergyCons!$C$4:$C$10000)*1,ISNUMBER(SEARCH("T_C*bat*s3",[1]OUT_TransportEnergyCons!$A$4:$A$10000))*1,[1]OUT_TransportEnergyCons!F$4:F$10000)</f>
        <v>2.4026511314938202E-3</v>
      </c>
      <c r="I2113" s="1" cm="1">
        <f t="array" ref="I2113">SUMPRODUCT(("var_ncap"=[1]OUT_TransportEnergyCons!$B$4:$B$10000)*1,("-"=[1]OUT_TransportEnergyCons!$C$4:$C$10000)*1,ISNUMBER(SEARCH("T_C*bat*s3",[1]OUT_TransportEnergyCons!$A$4:$A$10000))*1,[1]OUT_TransportEnergyCons!G$4:G$10000)</f>
        <v>0.36231147106655798</v>
      </c>
      <c r="J2113" s="1" cm="1">
        <f t="array" ref="J2113">SUMPRODUCT(("var_ncap"=[1]OUT_TransportEnergyCons!$B$4:$B$10000)*1,("-"=[1]OUT_TransportEnergyCons!$C$4:$C$10000)*1,ISNUMBER(SEARCH("T_C*bat*s3",[1]OUT_TransportEnergyCons!$A$4:$A$10000))*1,[1]OUT_TransportEnergyCons!H$4:H$10000)</f>
        <v>0.509773959571996</v>
      </c>
      <c r="K2113" s="1" cm="1">
        <f t="array" ref="K2113">SUMPRODUCT(("var_ncap"=[1]OUT_TransportEnergyCons!$B$4:$B$10000)*1,("-"=[1]OUT_TransportEnergyCons!$C$4:$C$10000)*1,ISNUMBER(SEARCH("T_C*bat*s3",[1]OUT_TransportEnergyCons!$A$4:$A$10000))*1,[1]OUT_TransportEnergyCons!I$4:I$10000)</f>
        <v>0.997103537915905</v>
      </c>
    </row>
    <row r="2114" spans="2:11" x14ac:dyDescent="0.35">
      <c r="B2114" s="5" t="str">
        <f t="shared" si="1307"/>
        <v>SPS3</v>
      </c>
      <c r="C2114" s="5" t="str">
        <f t="shared" si="1308"/>
        <v>CH</v>
      </c>
      <c r="D2114" t="s">
        <v>2265</v>
      </c>
      <c r="E2114" t="str">
        <f t="shared" si="1309"/>
        <v>Million</v>
      </c>
      <c r="F2114" s="1" cm="1">
        <f t="array" ref="F2114">SUMPRODUCT(("var_ncap"=[1]OUT_TransportEnergyCons!$B$4:$B$10000)*1,("-"=[1]OUT_TransportEnergyCons!$C$4:$C$10000)*1,ISNUMBER(SEARCH("T_C*bat*s4",[1]OUT_TransportEnergyCons!$A$4:$A$10000))*1,[1]OUT_TransportEnergyCons!D$4:D$10000)</f>
        <v>1.72723450242886E-4</v>
      </c>
      <c r="G2114" s="1" cm="1">
        <f t="array" ref="G2114">SUMPRODUCT(("var_ncap"=[1]OUT_TransportEnergyCons!$B$4:$B$10000)*1,("-"=[1]OUT_TransportEnergyCons!$C$4:$C$10000)*1,ISNUMBER(SEARCH("T_C*bat*s4",[1]OUT_TransportEnergyCons!$A$4:$A$10000))*1,[1]OUT_TransportEnergyCons!E$4:E$10000)</f>
        <v>7.8989612672504303E-2</v>
      </c>
      <c r="H2114" s="1" cm="1">
        <f t="array" ref="H2114">SUMPRODUCT(("var_ncap"=[1]OUT_TransportEnergyCons!$B$4:$B$10000)*1,("-"=[1]OUT_TransportEnergyCons!$C$4:$C$10000)*1,ISNUMBER(SEARCH("T_C*bat*s4",[1]OUT_TransportEnergyCons!$A$4:$A$10000))*1,[1]OUT_TransportEnergyCons!F$4:F$10000)</f>
        <v>0.26390696600239699</v>
      </c>
      <c r="I2114" s="1" cm="1">
        <f t="array" ref="I2114">SUMPRODUCT(("var_ncap"=[1]OUT_TransportEnergyCons!$B$4:$B$10000)*1,("-"=[1]OUT_TransportEnergyCons!$C$4:$C$10000)*1,ISNUMBER(SEARCH("T_C*bat*s4",[1]OUT_TransportEnergyCons!$A$4:$A$10000))*1,[1]OUT_TransportEnergyCons!G$4:G$10000)</f>
        <v>8.3489883421344294E-2</v>
      </c>
      <c r="J2114" s="1" cm="1">
        <f t="array" ref="J2114">SUMPRODUCT(("var_ncap"=[1]OUT_TransportEnergyCons!$B$4:$B$10000)*1,("-"=[1]OUT_TransportEnergyCons!$C$4:$C$10000)*1,ISNUMBER(SEARCH("T_C*bat*s4",[1]OUT_TransportEnergyCons!$A$4:$A$10000))*1,[1]OUT_TransportEnergyCons!H$4:H$10000)</f>
        <v>0.82322834320150196</v>
      </c>
      <c r="K2114" s="1" cm="1">
        <f t="array" ref="K2114">SUMPRODUCT(("var_ncap"=[1]OUT_TransportEnergyCons!$B$4:$B$10000)*1,("-"=[1]OUT_TransportEnergyCons!$C$4:$C$10000)*1,ISNUMBER(SEARCH("T_C*bat*s4",[1]OUT_TransportEnergyCons!$A$4:$A$10000))*1,[1]OUT_TransportEnergyCons!I$4:I$10000)</f>
        <v>1.8008600894936</v>
      </c>
    </row>
    <row r="2115" spans="2:11" x14ac:dyDescent="0.35">
      <c r="B2115" s="5" t="str">
        <f t="shared" si="1307"/>
        <v>SPS3</v>
      </c>
      <c r="C2115" s="5" t="str">
        <f t="shared" si="1308"/>
        <v>CH</v>
      </c>
      <c r="D2115" t="s">
        <v>2266</v>
      </c>
      <c r="E2115" t="str">
        <f t="shared" si="1309"/>
        <v>Million</v>
      </c>
      <c r="F2115" s="1" cm="1">
        <f t="array" ref="F2115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SUMPRODUCT(("var_ncap"=[1]OUT_TransportEnergyCons!$B$4:$B$10000)*1,("-"=[1]OUT_TransportEnergyCons!$C$4:$C$10000)*1,ISNUMBER(SEARCH("T_C*pev*GSL*s1",[1]OUT_TransportEnergyCons!$A$4:$A$10000))*1,[1]OUT_TransportEnergyCons!E$4:E$10000)</f>
        <v>1.2468521945644399E-4</v>
      </c>
      <c r="H2115" s="1" cm="1">
        <f t="array" ref="H2115">SUMPRODUCT(("var_ncap"=[1]OUT_TransportEnergyCons!$B$4:$B$10000)*1,("-"=[1]OUT_TransportEnergyCons!$C$4:$C$10000)*1,ISNUMBER(SEARCH("T_C*pev*GSL*s1",[1]OUT_TransportEnergyCons!$A$4:$A$10000))*1,[1]OUT_TransportEnergyCons!F$4:F$10000)</f>
        <v>1.68365067922491E-4</v>
      </c>
      <c r="I2115" s="1" cm="1">
        <f t="array" ref="I2115">SUMPRODUCT(("var_ncap"=[1]OUT_TransportEnergyCons!$B$4:$B$10000)*1,("-"=[1]OUT_TransportEnergyCons!$C$4:$C$10000)*1,ISNUMBER(SEARCH("T_C*pev*GSL*s1",[1]OUT_TransportEnergyCons!$A$4:$A$10000))*1,[1]OUT_TransportEnergyCons!G$4:G$10000)</f>
        <v>9.7192236640549794E-5</v>
      </c>
      <c r="J2115" s="1" cm="1">
        <f t="array" ref="J2115">SUMPRODUCT(("var_ncap"=[1]OUT_TransportEnergyCons!$B$4:$B$10000)*1,("-"=[1]OUT_TransportEnergyCons!$C$4:$C$10000)*1,ISNUMBER(SEARCH("T_C*pev*GSL*s1",[1]OUT_TransportEnergyCons!$A$4:$A$10000))*1,[1]OUT_TransportEnergyCons!H$4:H$10000)</f>
        <v>7.58016018819886E-5</v>
      </c>
      <c r="K2115" s="1" cm="1">
        <f t="array" ref="K2115">SUMPRODUCT(("var_ncap"=[1]OUT_TransportEnergyCons!$B$4:$B$10000)*1,("-"=[1]OUT_TransportEnergyCons!$C$4:$C$10000)*1,ISNUMBER(SEARCH("T_C*pev*GSL*s1",[1]OUT_TransportEnergyCons!$A$4:$A$10000))*1,[1]OUT_TransportEnergyCons!I$4:I$10000)</f>
        <v>2.4515081656730499E-5</v>
      </c>
    </row>
    <row r="2116" spans="2:11" x14ac:dyDescent="0.35">
      <c r="B2116" s="5" t="str">
        <f t="shared" si="1307"/>
        <v>SPS3</v>
      </c>
      <c r="C2116" s="5" t="str">
        <f t="shared" si="1308"/>
        <v>CH</v>
      </c>
      <c r="D2116" t="s">
        <v>2267</v>
      </c>
      <c r="E2116" t="str">
        <f t="shared" si="1309"/>
        <v>Million</v>
      </c>
      <c r="F2116" s="1" cm="1">
        <f t="array" ref="F2116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16" s="1" cm="1">
        <f t="array" ref="G2116">SUMPRODUCT(("var_ncap"=[1]OUT_TransportEnergyCons!$B$4:$B$10000)*1,("-"=[1]OUT_TransportEnergyCons!$C$4:$C$10000)*1,ISNUMBER(SEARCH("T_C*pev*GSL*s2",[1]OUT_TransportEnergyCons!$A$4:$A$10000))*1,[1]OUT_TransportEnergyCons!E$4:E$10000)</f>
        <v>7.1567326865544506E-5</v>
      </c>
      <c r="H2116" s="1" cm="1">
        <f t="array" ref="H2116">SUMPRODUCT(("var_ncap"=[1]OUT_TransportEnergyCons!$B$4:$B$10000)*1,("-"=[1]OUT_TransportEnergyCons!$C$4:$C$10000)*1,ISNUMBER(SEARCH("T_C*pev*GSL*s2",[1]OUT_TransportEnergyCons!$A$4:$A$10000))*1,[1]OUT_TransportEnergyCons!F$4:F$10000)</f>
        <v>1.6226095499651699E-4</v>
      </c>
      <c r="I2116" s="1" cm="1">
        <f t="array" ref="I2116">SUMPRODUCT(("var_ncap"=[1]OUT_TransportEnergyCons!$B$4:$B$10000)*1,("-"=[1]OUT_TransportEnergyCons!$C$4:$C$10000)*1,ISNUMBER(SEARCH("T_C*pev*GSL*s2",[1]OUT_TransportEnergyCons!$A$4:$A$10000))*1,[1]OUT_TransportEnergyCons!G$4:G$10000)</f>
        <v>1.3343910443723201E-4</v>
      </c>
      <c r="J2116" s="1" cm="1">
        <f t="array" ref="J2116">SUMPRODUCT(("var_ncap"=[1]OUT_TransportEnergyCons!$B$4:$B$10000)*1,("-"=[1]OUT_TransportEnergyCons!$C$4:$C$10000)*1,ISNUMBER(SEARCH("T_C*pev*GSL*s2",[1]OUT_TransportEnergyCons!$A$4:$A$10000))*1,[1]OUT_TransportEnergyCons!H$4:H$10000)</f>
        <v>3.4076941143443503E-5</v>
      </c>
      <c r="K2116" s="1" cm="1">
        <f t="array" ref="K2116">SUMPRODUCT(("var_ncap"=[1]OUT_TransportEnergyCons!$B$4:$B$10000)*1,("-"=[1]OUT_TransportEnergyCons!$C$4:$C$10000)*1,ISNUMBER(SEARCH("T_C*pev*GSL*s2",[1]OUT_TransportEnergyCons!$A$4:$A$10000))*1,[1]OUT_TransportEnergyCons!I$4:I$10000)</f>
        <v>7.0405427695653303E-6</v>
      </c>
    </row>
    <row r="2117" spans="2:11" x14ac:dyDescent="0.35">
      <c r="B2117" s="5" t="str">
        <f t="shared" si="1307"/>
        <v>SPS3</v>
      </c>
      <c r="C2117" s="5" t="str">
        <f t="shared" si="1308"/>
        <v>CH</v>
      </c>
      <c r="D2117" t="s">
        <v>2268</v>
      </c>
      <c r="E2117" t="str">
        <f t="shared" si="1309"/>
        <v>Million</v>
      </c>
      <c r="F2117" s="1" cm="1">
        <f t="array" ref="F2117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17" s="1" cm="1">
        <f t="array" ref="G2117">SUMPRODUCT(("var_ncap"=[1]OUT_TransportEnergyCons!$B$4:$B$10000)*1,("-"=[1]OUT_TransportEnergyCons!$C$4:$C$10000)*1,ISNUMBER(SEARCH("T_C*pev*GSL*s3",[1]OUT_TransportEnergyCons!$A$4:$A$10000))*1,[1]OUT_TransportEnergyCons!E$4:E$10000)</f>
        <v>3.56305022954242E-2</v>
      </c>
      <c r="H2117" s="1" cm="1">
        <f t="array" ref="H2117">SUMPRODUCT(("var_ncap"=[1]OUT_TransportEnergyCons!$B$4:$B$10000)*1,("-"=[1]OUT_TransportEnergyCons!$C$4:$C$10000)*1,ISNUMBER(SEARCH("T_C*pev*GSL*s3",[1]OUT_TransportEnergyCons!$A$4:$A$10000))*1,[1]OUT_TransportEnergyCons!F$4:F$10000)</f>
        <v>3.8999374365093299E-2</v>
      </c>
      <c r="I2117" s="1" cm="1">
        <f t="array" ref="I2117">SUMPRODUCT(("var_ncap"=[1]OUT_TransportEnergyCons!$B$4:$B$10000)*1,("-"=[1]OUT_TransportEnergyCons!$C$4:$C$10000)*1,ISNUMBER(SEARCH("T_C*pev*GSL*s3",[1]OUT_TransportEnergyCons!$A$4:$A$10000))*1,[1]OUT_TransportEnergyCons!G$4:G$10000)</f>
        <v>1.16155774100566E-3</v>
      </c>
      <c r="J2117" s="1" cm="1">
        <f t="array" ref="J2117">SUMPRODUCT(("var_ncap"=[1]OUT_TransportEnergyCons!$B$4:$B$10000)*1,("-"=[1]OUT_TransportEnergyCons!$C$4:$C$10000)*1,ISNUMBER(SEARCH("T_C*pev*GSL*s3",[1]OUT_TransportEnergyCons!$A$4:$A$10000))*1,[1]OUT_TransportEnergyCons!H$4:H$10000)</f>
        <v>9.1069249676174394E-5</v>
      </c>
      <c r="K2117" s="1" cm="1">
        <f t="array" ref="K2117">SUMPRODUCT(("var_ncap"=[1]OUT_TransportEnergyCons!$B$4:$B$10000)*1,("-"=[1]OUT_TransportEnergyCons!$C$4:$C$10000)*1,ISNUMBER(SEARCH("T_C*pev*GSL*s3",[1]OUT_TransportEnergyCons!$A$4:$A$10000))*1,[1]OUT_TransportEnergyCons!I$4:I$10000)</f>
        <v>1.9507567118107298E-5</v>
      </c>
    </row>
    <row r="2118" spans="2:11" x14ac:dyDescent="0.35">
      <c r="B2118" s="5" t="str">
        <f t="shared" si="1307"/>
        <v>SPS3</v>
      </c>
      <c r="C2118" s="5" t="str">
        <f t="shared" si="1308"/>
        <v>CH</v>
      </c>
      <c r="D2118" t="s">
        <v>2269</v>
      </c>
      <c r="E2118" t="str">
        <f t="shared" si="1309"/>
        <v>Million</v>
      </c>
      <c r="F2118" s="1" cm="1">
        <f t="array" ref="F2118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18" s="1" cm="1">
        <f t="array" ref="G2118">SUMPRODUCT(("var_ncap"=[1]OUT_TransportEnergyCons!$B$4:$B$10000)*1,("-"=[1]OUT_TransportEnergyCons!$C$4:$C$10000)*1,ISNUMBER(SEARCH("T_C*pev*GSL*s4",[1]OUT_TransportEnergyCons!$A$4:$A$10000))*1,[1]OUT_TransportEnergyCons!E$4:E$10000)</f>
        <v>4.6388466192045998E-4</v>
      </c>
      <c r="H2118" s="1" cm="1">
        <f t="array" ref="H2118">SUMPRODUCT(("var_ncap"=[1]OUT_TransportEnergyCons!$B$4:$B$10000)*1,("-"=[1]OUT_TransportEnergyCons!$C$4:$C$10000)*1,ISNUMBER(SEARCH("T_C*pev*GSL*s4",[1]OUT_TransportEnergyCons!$A$4:$A$10000))*1,[1]OUT_TransportEnergyCons!F$4:F$10000)</f>
        <v>3.9554965490188303E-4</v>
      </c>
      <c r="I2118" s="1" cm="1">
        <f t="array" ref="I2118">SUMPRODUCT(("var_ncap"=[1]OUT_TransportEnergyCons!$B$4:$B$10000)*1,("-"=[1]OUT_TransportEnergyCons!$C$4:$C$10000)*1,ISNUMBER(SEARCH("T_C*pev*GSL*s4",[1]OUT_TransportEnergyCons!$A$4:$A$10000))*1,[1]OUT_TransportEnergyCons!G$4:G$10000)</f>
        <v>3.0052960203831401E-4</v>
      </c>
      <c r="J2118" s="1" cm="1">
        <f t="array" ref="J2118">SUMPRODUCT(("var_ncap"=[1]OUT_TransportEnergyCons!$B$4:$B$10000)*1,("-"=[1]OUT_TransportEnergyCons!$C$4:$C$10000)*1,ISNUMBER(SEARCH("T_C*pev*GSL*s4",[1]OUT_TransportEnergyCons!$A$4:$A$10000))*1,[1]OUT_TransportEnergyCons!H$4:H$10000)</f>
        <v>7.6109374908977994E-5</v>
      </c>
      <c r="K2118" s="1" cm="1">
        <f t="array" ref="K2118">SUMPRODUCT(("var_ncap"=[1]OUT_TransportEnergyCons!$B$4:$B$10000)*1,("-"=[1]OUT_TransportEnergyCons!$C$4:$C$10000)*1,ISNUMBER(SEARCH("T_C*pev*GSL*s4",[1]OUT_TransportEnergyCons!$A$4:$A$10000))*1,[1]OUT_TransportEnergyCons!I$4:I$10000)</f>
        <v>1.83419884441493E-5</v>
      </c>
    </row>
    <row r="2119" spans="2:11" x14ac:dyDescent="0.35">
      <c r="B2119" s="5" t="str">
        <f t="shared" si="1307"/>
        <v>SPS3</v>
      </c>
      <c r="C2119" s="5" t="str">
        <f t="shared" si="1308"/>
        <v>CH</v>
      </c>
      <c r="D2119" t="s">
        <v>2270</v>
      </c>
      <c r="E2119" t="str">
        <f t="shared" si="1309"/>
        <v>Million</v>
      </c>
      <c r="F2119" s="1" cm="1">
        <f t="array" ref="F2119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19" s="1" cm="1">
        <f t="array" ref="G2119">SUMPRODUCT(("var_ncap"=[1]OUT_TransportEnergyCons!$B$4:$B$10000)*1,("-"=[1]OUT_TransportEnergyCons!$C$4:$C$10000)*1,ISNUMBER(SEARCH("T_C*pev*dsl*s1",[1]OUT_TransportEnergyCons!$A$4:$A$10000))*1,[1]OUT_TransportEnergyCons!E$4:E$10000)</f>
        <v>1.27458875338498E-4</v>
      </c>
      <c r="H2119" s="1" cm="1">
        <f t="array" ref="H2119">SUMPRODUCT(("var_ncap"=[1]OUT_TransportEnergyCons!$B$4:$B$10000)*1,("-"=[1]OUT_TransportEnergyCons!$C$4:$C$10000)*1,ISNUMBER(SEARCH("T_C*pev*dsl*s1",[1]OUT_TransportEnergyCons!$A$4:$A$10000))*1,[1]OUT_TransportEnergyCons!F$4:F$10000)</f>
        <v>1.6652867719522401E-4</v>
      </c>
      <c r="I2119" s="1" cm="1">
        <f t="array" ref="I2119">SUMPRODUCT(("var_ncap"=[1]OUT_TransportEnergyCons!$B$4:$B$10000)*1,("-"=[1]OUT_TransportEnergyCons!$C$4:$C$10000)*1,ISNUMBER(SEARCH("T_C*pev*dsl*s1",[1]OUT_TransportEnergyCons!$A$4:$A$10000))*1,[1]OUT_TransportEnergyCons!G$4:G$10000)</f>
        <v>1.01413884828686E-4</v>
      </c>
      <c r="J2119" s="1" cm="1">
        <f t="array" ref="J2119">SUMPRODUCT(("var_ncap"=[1]OUT_TransportEnergyCons!$B$4:$B$10000)*1,("-"=[1]OUT_TransportEnergyCons!$C$4:$C$10000)*1,ISNUMBER(SEARCH("T_C*pev*dsl*s1",[1]OUT_TransportEnergyCons!$A$4:$A$10000))*1,[1]OUT_TransportEnergyCons!H$4:H$10000)</f>
        <v>7.1249224897227504E-5</v>
      </c>
      <c r="K2119" s="1" cm="1">
        <f t="array" ref="K2119">SUMPRODUCT(("var_ncap"=[1]OUT_TransportEnergyCons!$B$4:$B$10000)*1,("-"=[1]OUT_TransportEnergyCons!$C$4:$C$10000)*1,ISNUMBER(SEARCH("T_C*pev*dsl*s1",[1]OUT_TransportEnergyCons!$A$4:$A$10000))*1,[1]OUT_TransportEnergyCons!I$4:I$10000)</f>
        <v>2.0636018690299298E-5</v>
      </c>
    </row>
    <row r="2120" spans="2:11" x14ac:dyDescent="0.35">
      <c r="B2120" s="5" t="str">
        <f t="shared" si="1307"/>
        <v>SPS3</v>
      </c>
      <c r="C2120" s="5" t="str">
        <f t="shared" si="1308"/>
        <v>CH</v>
      </c>
      <c r="D2120" t="s">
        <v>2271</v>
      </c>
      <c r="E2120" t="str">
        <f t="shared" si="1309"/>
        <v>Million</v>
      </c>
      <c r="F2120" s="1" cm="1">
        <f t="array" ref="F2120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SUMPRODUCT(("var_ncap"=[1]OUT_TransportEnergyCons!$B$4:$B$10000)*1,("-"=[1]OUT_TransportEnergyCons!$C$4:$C$10000)*1,ISNUMBER(SEARCH("T_C*pev*dsl*s2",[1]OUT_TransportEnergyCons!$A$4:$A$10000))*1,[1]OUT_TransportEnergyCons!E$4:E$10000)</f>
        <v>9.3586486216267302E-5</v>
      </c>
      <c r="H2120" s="1" cm="1">
        <f t="array" ref="H2120">SUMPRODUCT(("var_ncap"=[1]OUT_TransportEnergyCons!$B$4:$B$10000)*1,("-"=[1]OUT_TransportEnergyCons!$C$4:$C$10000)*1,ISNUMBER(SEARCH("T_C*pev*dsl*s2",[1]OUT_TransportEnergyCons!$A$4:$A$10000))*1,[1]OUT_TransportEnergyCons!F$4:F$10000)</f>
        <v>1.97306534075308E-4</v>
      </c>
      <c r="I2120" s="1" cm="1">
        <f t="array" ref="I2120">SUMPRODUCT(("var_ncap"=[1]OUT_TransportEnergyCons!$B$4:$B$10000)*1,("-"=[1]OUT_TransportEnergyCons!$C$4:$C$10000)*1,ISNUMBER(SEARCH("T_C*pev*dsl*s2",[1]OUT_TransportEnergyCons!$A$4:$A$10000))*1,[1]OUT_TransportEnergyCons!G$4:G$10000)</f>
        <v>1.5946076122239899E-4</v>
      </c>
      <c r="J2120" s="1" cm="1">
        <f t="array" ref="J2120">SUMPRODUCT(("var_ncap"=[1]OUT_TransportEnergyCons!$B$4:$B$10000)*1,("-"=[1]OUT_TransportEnergyCons!$C$4:$C$10000)*1,ISNUMBER(SEARCH("T_C*pev*dsl*s2",[1]OUT_TransportEnergyCons!$A$4:$A$10000))*1,[1]OUT_TransportEnergyCons!H$4:H$10000)</f>
        <v>3.1029571700691403E-5</v>
      </c>
      <c r="K2120" s="1" cm="1">
        <f t="array" ref="K2120">SUMPRODUCT(("var_ncap"=[1]OUT_TransportEnergyCons!$B$4:$B$10000)*1,("-"=[1]OUT_TransportEnergyCons!$C$4:$C$10000)*1,ISNUMBER(SEARCH("T_C*pev*dsl*s2",[1]OUT_TransportEnergyCons!$A$4:$A$10000))*1,[1]OUT_TransportEnergyCons!I$4:I$10000)</f>
        <v>6.1860706537577803E-6</v>
      </c>
    </row>
    <row r="2121" spans="2:11" x14ac:dyDescent="0.35">
      <c r="B2121" s="5" t="str">
        <f t="shared" si="1307"/>
        <v>SPS3</v>
      </c>
      <c r="C2121" s="5" t="str">
        <f t="shared" si="1308"/>
        <v>CH</v>
      </c>
      <c r="D2121" t="s">
        <v>2272</v>
      </c>
      <c r="E2121" t="str">
        <f t="shared" si="1309"/>
        <v>Million</v>
      </c>
      <c r="F2121" s="1" cm="1">
        <f t="array" ref="F2121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SUMPRODUCT(("var_ncap"=[1]OUT_TransportEnergyCons!$B$4:$B$10000)*1,("-"=[1]OUT_TransportEnergyCons!$C$4:$C$10000)*1,ISNUMBER(SEARCH("T_C*pev*dsl*s3",[1]OUT_TransportEnergyCons!$A$4:$A$10000))*1,[1]OUT_TransportEnergyCons!E$4:E$10000)</f>
        <v>7.4102595201235705E-4</v>
      </c>
      <c r="H2121" s="1" cm="1">
        <f t="array" ref="H2121">SUMPRODUCT(("var_ncap"=[1]OUT_TransportEnergyCons!$B$4:$B$10000)*1,("-"=[1]OUT_TransportEnergyCons!$C$4:$C$10000)*1,ISNUMBER(SEARCH("T_C*pev*dsl*s3",[1]OUT_TransportEnergyCons!$A$4:$A$10000))*1,[1]OUT_TransportEnergyCons!F$4:F$10000)</f>
        <v>6.7094189657944905E-2</v>
      </c>
      <c r="I2121" s="1" cm="1">
        <f t="array" ref="I2121">SUMPRODUCT(("var_ncap"=[1]OUT_TransportEnergyCons!$B$4:$B$10000)*1,("-"=[1]OUT_TransportEnergyCons!$C$4:$C$10000)*1,ISNUMBER(SEARCH("T_C*pev*dsl*s3",[1]OUT_TransportEnergyCons!$A$4:$A$10000))*1,[1]OUT_TransportEnergyCons!G$4:G$10000)</f>
        <v>0.150748438449783</v>
      </c>
      <c r="J2121" s="1" cm="1">
        <f t="array" ref="J2121">SUMPRODUCT(("var_ncap"=[1]OUT_TransportEnergyCons!$B$4:$B$10000)*1,("-"=[1]OUT_TransportEnergyCons!$C$4:$C$10000)*1,ISNUMBER(SEARCH("T_C*pev*dsl*s3",[1]OUT_TransportEnergyCons!$A$4:$A$10000))*1,[1]OUT_TransportEnergyCons!H$4:H$10000)</f>
        <v>7.6835610561820698E-5</v>
      </c>
      <c r="K2121" s="1" cm="1">
        <f t="array" ref="K2121">SUMPRODUCT(("var_ncap"=[1]OUT_TransportEnergyCons!$B$4:$B$10000)*1,("-"=[1]OUT_TransportEnergyCons!$C$4:$C$10000)*1,ISNUMBER(SEARCH("T_C*pev*dsl*s3",[1]OUT_TransportEnergyCons!$A$4:$A$10000))*1,[1]OUT_TransportEnergyCons!I$4:I$10000)</f>
        <v>1.5272634888742299E-5</v>
      </c>
    </row>
    <row r="2122" spans="2:11" x14ac:dyDescent="0.35">
      <c r="B2122" s="5" t="str">
        <f t="shared" si="1307"/>
        <v>SPS3</v>
      </c>
      <c r="C2122" s="5" t="str">
        <f t="shared" si="1308"/>
        <v>CH</v>
      </c>
      <c r="D2122" t="s">
        <v>2273</v>
      </c>
      <c r="E2122" t="str">
        <f t="shared" si="1309"/>
        <v>Million</v>
      </c>
      <c r="F2122" s="1" cm="1">
        <f t="array" ref="F2122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SUMPRODUCT(("var_ncap"=[1]OUT_TransportEnergyCons!$B$4:$B$10000)*1,("-"=[1]OUT_TransportEnergyCons!$C$4:$C$10000)*1,ISNUMBER(SEARCH("T_C*pev*dsl*s4",[1]OUT_TransportEnergyCons!$A$4:$A$10000))*1,[1]OUT_TransportEnergyCons!E$4:E$10000)</f>
        <v>3.4285773920806001E-4</v>
      </c>
      <c r="H2122" s="1" cm="1">
        <f t="array" ref="H2122">SUMPRODUCT(("var_ncap"=[1]OUT_TransportEnergyCons!$B$4:$B$10000)*1,("-"=[1]OUT_TransportEnergyCons!$C$4:$C$10000)*1,ISNUMBER(SEARCH("T_C*pev*dsl*s4",[1]OUT_TransportEnergyCons!$A$4:$A$10000))*1,[1]OUT_TransportEnergyCons!F$4:F$10000)</f>
        <v>4.4724662932457102E-4</v>
      </c>
      <c r="I2122" s="1" cm="1">
        <f t="array" ref="I2122">SUMPRODUCT(("var_ncap"=[1]OUT_TransportEnergyCons!$B$4:$B$10000)*1,("-"=[1]OUT_TransportEnergyCons!$C$4:$C$10000)*1,ISNUMBER(SEARCH("T_C*pev*dsl*s4",[1]OUT_TransportEnergyCons!$A$4:$A$10000))*1,[1]OUT_TransportEnergyCons!G$4:G$10000)</f>
        <v>3.9598630673653599E-4</v>
      </c>
      <c r="J2122" s="1" cm="1">
        <f t="array" ref="J2122">SUMPRODUCT(("var_ncap"=[1]OUT_TransportEnergyCons!$B$4:$B$10000)*1,("-"=[1]OUT_TransportEnergyCons!$C$4:$C$10000)*1,ISNUMBER(SEARCH("T_C*pev*dsl*s4",[1]OUT_TransportEnergyCons!$A$4:$A$10000))*1,[1]OUT_TransportEnergyCons!H$4:H$10000)</f>
        <v>6.3547214176828704E-5</v>
      </c>
      <c r="K2122" s="1" cm="1">
        <f t="array" ref="K2122">SUMPRODUCT(("var_ncap"=[1]OUT_TransportEnergyCons!$B$4:$B$10000)*1,("-"=[1]OUT_TransportEnergyCons!$C$4:$C$10000)*1,ISNUMBER(SEARCH("T_C*pev*dsl*s4",[1]OUT_TransportEnergyCons!$A$4:$A$10000))*1,[1]OUT_TransportEnergyCons!I$4:I$10000)</f>
        <v>1.4274553983814299E-5</v>
      </c>
    </row>
    <row r="2123" spans="2:11" x14ac:dyDescent="0.35">
      <c r="B2123" s="5" t="str">
        <f t="shared" si="1307"/>
        <v>SPS3</v>
      </c>
      <c r="C2123" s="5" t="str">
        <f t="shared" si="1308"/>
        <v>CH</v>
      </c>
      <c r="D2123" t="s">
        <v>2274</v>
      </c>
      <c r="E2123" t="str">
        <f t="shared" si="1309"/>
        <v>Million</v>
      </c>
      <c r="F2123" s="1" cm="1">
        <f t="array" ref="F2123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SUMPRODUCT(("var_ncap"=[1]OUT_TransportEnergyCons!$B$4:$B$10000)*1,("-"=[1]OUT_TransportEnergyCons!$C$4:$C$10000)*1,ISNUMBER(SEARCH("T_C*h2o*s1",[1]OUT_TransportEnergyCons!$A$4:$A$10000))*1,[1]OUT_TransportEnergyCons!E$4:E$10000)</f>
        <v>7.7284041203617806E-6</v>
      </c>
      <c r="H2123" s="1" cm="1">
        <f t="array" ref="H2123">SUMPRODUCT(("var_ncap"=[1]OUT_TransportEnergyCons!$B$4:$B$10000)*1,("-"=[1]OUT_TransportEnergyCons!$C$4:$C$10000)*1,ISNUMBER(SEARCH("T_C*h2o*s1",[1]OUT_TransportEnergyCons!$A$4:$A$10000))*1,[1]OUT_TransportEnergyCons!F$4:F$10000)</f>
        <v>6.1872128613524697E-6</v>
      </c>
      <c r="I2123" s="1" cm="1">
        <f t="array" ref="I2123">SUMPRODUCT(("var_ncap"=[1]OUT_TransportEnergyCons!$B$4:$B$10000)*1,("-"=[1]OUT_TransportEnergyCons!$C$4:$C$10000)*1,ISNUMBER(SEARCH("T_C*h2o*s1",[1]OUT_TransportEnergyCons!$A$4:$A$10000))*1,[1]OUT_TransportEnergyCons!G$4:G$10000)</f>
        <v>2.1643282910865702E-6</v>
      </c>
      <c r="J2123" s="1" cm="1">
        <f t="array" ref="J2123">SUMPRODUCT(("var_ncap"=[1]OUT_TransportEnergyCons!$B$4:$B$10000)*1,("-"=[1]OUT_TransportEnergyCons!$C$4:$C$10000)*1,ISNUMBER(SEARCH("T_C*h2o*s1",[1]OUT_TransportEnergyCons!$A$4:$A$10000))*1,[1]OUT_TransportEnergyCons!H$4:H$10000)</f>
        <v>3.4797901791590001E-6</v>
      </c>
      <c r="K2123" s="1" cm="1">
        <f t="array" ref="K2123">SUMPRODUCT(("var_ncap"=[1]OUT_TransportEnergyCons!$B$4:$B$10000)*1,("-"=[1]OUT_TransportEnergyCons!$C$4:$C$10000)*1,ISNUMBER(SEARCH("T_C*h2o*s1",[1]OUT_TransportEnergyCons!$A$4:$A$10000))*1,[1]OUT_TransportEnergyCons!I$4:I$10000)</f>
        <v>3.4952480386333498E-6</v>
      </c>
    </row>
    <row r="2124" spans="2:11" x14ac:dyDescent="0.35">
      <c r="B2124" s="5" t="str">
        <f t="shared" si="1307"/>
        <v>SPS3</v>
      </c>
      <c r="C2124" s="5" t="str">
        <f t="shared" si="1308"/>
        <v>CH</v>
      </c>
      <c r="D2124" t="s">
        <v>2275</v>
      </c>
      <c r="E2124" t="str">
        <f t="shared" si="1309"/>
        <v>Million</v>
      </c>
      <c r="F2124" s="1" cm="1">
        <f t="array" ref="F2124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SUMPRODUCT(("var_ncap"=[1]OUT_TransportEnergyCons!$B$4:$B$10000)*1,("-"=[1]OUT_TransportEnergyCons!$C$4:$C$10000)*1,ISNUMBER(SEARCH("T_C*h2o*s2",[1]OUT_TransportEnergyCons!$A$4:$A$10000))*1,[1]OUT_TransportEnergyCons!E$4:E$10000)</f>
        <v>3.19309741229725E-6</v>
      </c>
      <c r="H2124" s="1" cm="1">
        <f t="array" ref="H2124">SUMPRODUCT(("var_ncap"=[1]OUT_TransportEnergyCons!$B$4:$B$10000)*1,("-"=[1]OUT_TransportEnergyCons!$C$4:$C$10000)*1,ISNUMBER(SEARCH("T_C*h2o*s2",[1]OUT_TransportEnergyCons!$A$4:$A$10000))*1,[1]OUT_TransportEnergyCons!F$4:F$10000)</f>
        <v>2.23472615192104E-6</v>
      </c>
      <c r="I2124" s="1" cm="1">
        <f t="array" ref="I2124">SUMPRODUCT(("var_ncap"=[1]OUT_TransportEnergyCons!$B$4:$B$10000)*1,("-"=[1]OUT_TransportEnergyCons!$C$4:$C$10000)*1,ISNUMBER(SEARCH("T_C*h2o*s2",[1]OUT_TransportEnergyCons!$A$4:$A$10000))*1,[1]OUT_TransportEnergyCons!G$4:G$10000)</f>
        <v>8.5437037000141E-7</v>
      </c>
      <c r="J2124" s="1" cm="1">
        <f t="array" ref="J2124">SUMPRODUCT(("var_ncap"=[1]OUT_TransportEnergyCons!$B$4:$B$10000)*1,("-"=[1]OUT_TransportEnergyCons!$C$4:$C$10000)*1,ISNUMBER(SEARCH("T_C*h2o*s2",[1]OUT_TransportEnergyCons!$A$4:$A$10000))*1,[1]OUT_TransportEnergyCons!H$4:H$10000)</f>
        <v>2.9689505185437199E-6</v>
      </c>
      <c r="K2124" s="1" cm="1">
        <f t="array" ref="K2124">SUMPRODUCT(("var_ncap"=[1]OUT_TransportEnergyCons!$B$4:$B$10000)*1,("-"=[1]OUT_TransportEnergyCons!$C$4:$C$10000)*1,ISNUMBER(SEARCH("T_C*h2o*s2",[1]OUT_TransportEnergyCons!$A$4:$A$10000))*1,[1]OUT_TransportEnergyCons!I$4:I$10000)</f>
        <v>3.4248298210060299E-6</v>
      </c>
    </row>
    <row r="2125" spans="2:11" x14ac:dyDescent="0.35">
      <c r="B2125" s="5" t="str">
        <f t="shared" si="1307"/>
        <v>SPS3</v>
      </c>
      <c r="C2125" s="5" t="str">
        <f t="shared" si="1308"/>
        <v>CH</v>
      </c>
      <c r="D2125" t="s">
        <v>2276</v>
      </c>
      <c r="E2125" t="str">
        <f t="shared" si="1309"/>
        <v>Million</v>
      </c>
      <c r="F2125" s="1" cm="1">
        <f t="array" ref="F2125">SUMPRODUCT(("var_ncap"=[1]OUT_TransportEnergyCons!$B$4:$B$10000)*1,("-"=[1]OUT_TransportEnergyCons!$C$4:$C$10000)*1,ISNUMBER(SEARCH("T_C*h2o*s3",[1]OUT_TransportEnergyCons!$A$4:$A$10000))*1,[1]OUT_TransportEnergyCons!D$4:D$10000)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SUMPRODUCT(("var_ncap"=[1]OUT_TransportEnergyCons!$B$4:$B$10000)*1,("-"=[1]OUT_TransportEnergyCons!$C$4:$C$10000)*1,ISNUMBER(SEARCH("T_C*h2o*s3",[1]OUT_TransportEnergyCons!$A$4:$A$10000))*1,[1]OUT_TransportEnergyCons!E$4:E$10000)</f>
        <v>2.4174402627107899E-6</v>
      </c>
      <c r="H2125" s="1" cm="1">
        <f t="array" ref="H2125">SUMPRODUCT(("var_ncap"=[1]OUT_TransportEnergyCons!$B$4:$B$10000)*1,("-"=[1]OUT_TransportEnergyCons!$C$4:$C$10000)*1,ISNUMBER(SEARCH("T_C*h2o*s3",[1]OUT_TransportEnergyCons!$A$4:$A$10000))*1,[1]OUT_TransportEnergyCons!F$4:F$10000)</f>
        <v>1.28148987042653E-6</v>
      </c>
      <c r="I2125" s="1" cm="1">
        <f t="array" ref="I2125">SUMPRODUCT(("var_ncap"=[1]OUT_TransportEnergyCons!$B$4:$B$10000)*1,("-"=[1]OUT_TransportEnergyCons!$C$4:$C$10000)*1,ISNUMBER(SEARCH("T_C*h2o*s3",[1]OUT_TransportEnergyCons!$A$4:$A$10000))*1,[1]OUT_TransportEnergyCons!G$4:G$10000)</f>
        <v>4.0274076121706302E-7</v>
      </c>
      <c r="J2125" s="1" cm="1">
        <f t="array" ref="J2125">SUMPRODUCT(("var_ncap"=[1]OUT_TransportEnergyCons!$B$4:$B$10000)*1,("-"=[1]OUT_TransportEnergyCons!$C$4:$C$10000)*1,ISNUMBER(SEARCH("T_C*h2o*s3",[1]OUT_TransportEnergyCons!$A$4:$A$10000))*1,[1]OUT_TransportEnergyCons!H$4:H$10000)</f>
        <v>2.5531821086868301E-6</v>
      </c>
      <c r="K2125" s="1" cm="1">
        <f t="array" ref="K2125">SUMPRODUCT(("var_ncap"=[1]OUT_TransportEnergyCons!$B$4:$B$10000)*1,("-"=[1]OUT_TransportEnergyCons!$C$4:$C$10000)*1,ISNUMBER(SEARCH("T_C*h2o*s3",[1]OUT_TransportEnergyCons!$A$4:$A$10000))*1,[1]OUT_TransportEnergyCons!I$4:I$10000)</f>
        <v>3.7405323222473401E-6</v>
      </c>
    </row>
    <row r="2126" spans="2:11" x14ac:dyDescent="0.35">
      <c r="B2126" s="5" t="str">
        <f t="shared" si="1307"/>
        <v>SPS3</v>
      </c>
      <c r="C2126" s="5" t="str">
        <f t="shared" si="1308"/>
        <v>CH</v>
      </c>
      <c r="D2126" t="s">
        <v>2277</v>
      </c>
      <c r="E2126" t="str">
        <f t="shared" si="1309"/>
        <v>Million</v>
      </c>
      <c r="F2126" s="1" cm="1">
        <f t="array" ref="F2126">SUMPRODUCT(("var_ncap"=[1]OUT_TransportEnergyCons!$B$4:$B$10000)*1,("-"=[1]OUT_TransportEnergyCons!$C$4:$C$10000)*1,ISNUMBER(SEARCH("T_C*h2o*s4",[1]OUT_TransportEnergyCons!$A$4:$A$10000))*1,[1]OUT_TransportEnergyCons!D$4:D$10000)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SUMPRODUCT(("var_ncap"=[1]OUT_TransportEnergyCons!$B$4:$B$10000)*1,("-"=[1]OUT_TransportEnergyCons!$C$4:$C$10000)*1,ISNUMBER(SEARCH("T_C*h2o*s4",[1]OUT_TransportEnergyCons!$A$4:$A$10000))*1,[1]OUT_TransportEnergyCons!E$4:E$10000)</f>
        <v>3.4925447908698699E-6</v>
      </c>
      <c r="H2126" s="1" cm="1">
        <f t="array" ref="H2126">SUMPRODUCT(("var_ncap"=[1]OUT_TransportEnergyCons!$B$4:$B$10000)*1,("-"=[1]OUT_TransportEnergyCons!$C$4:$C$10000)*1,ISNUMBER(SEARCH("T_C*h2o*s4",[1]OUT_TransportEnergyCons!$A$4:$A$10000))*1,[1]OUT_TransportEnergyCons!F$4:F$10000)</f>
        <v>1.9574245434913599E-6</v>
      </c>
      <c r="I2126" s="1" cm="1">
        <f t="array" ref="I2126">SUMPRODUCT(("var_ncap"=[1]OUT_TransportEnergyCons!$B$4:$B$10000)*1,("-"=[1]OUT_TransportEnergyCons!$C$4:$C$10000)*1,ISNUMBER(SEARCH("T_C*h2o*s4",[1]OUT_TransportEnergyCons!$A$4:$A$10000))*1,[1]OUT_TransportEnergyCons!G$4:G$10000)</f>
        <v>7.2597164553138905E-7</v>
      </c>
      <c r="J2126" s="1" cm="1">
        <f t="array" ref="J2126">SUMPRODUCT(("var_ncap"=[1]OUT_TransportEnergyCons!$B$4:$B$10000)*1,("-"=[1]OUT_TransportEnergyCons!$C$4:$C$10000)*1,ISNUMBER(SEARCH("T_C*h2o*s4",[1]OUT_TransportEnergyCons!$A$4:$A$10000))*1,[1]OUT_TransportEnergyCons!H$4:H$10000)</f>
        <v>3.3266539037878101E-6</v>
      </c>
      <c r="K2126" s="1" cm="1">
        <f t="array" ref="K2126">SUMPRODUCT(("var_ncap"=[1]OUT_TransportEnergyCons!$B$4:$B$10000)*1,("-"=[1]OUT_TransportEnergyCons!$C$4:$C$10000)*1,ISNUMBER(SEARCH("T_C*h2o*s4",[1]OUT_TransportEnergyCons!$A$4:$A$10000))*1,[1]OUT_TransportEnergyCons!I$4:I$10000)</f>
        <v>5.2535055808163798E-6</v>
      </c>
    </row>
    <row r="2127" spans="2:11" x14ac:dyDescent="0.35">
      <c r="B2127" s="5" t="str">
        <f t="shared" si="1307"/>
        <v>SPS3</v>
      </c>
      <c r="C2127" s="5" t="str">
        <f t="shared" si="1308"/>
        <v>CH</v>
      </c>
      <c r="D2127" t="s">
        <v>2278</v>
      </c>
      <c r="E2127" t="str">
        <f t="shared" si="1309"/>
        <v>Million</v>
      </c>
      <c r="F2127" s="1" cm="1">
        <f t="array" ref="F2127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27" s="1" cm="1">
        <f t="array" ref="H2127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27" s="1" cm="1">
        <f t="array" ref="I2127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27" s="1" cm="1">
        <f t="array" ref="J2127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27" s="1" cm="1">
        <f t="array" ref="K2127">SUMPRODUCT(("var_ncap"=[1]OUT_TransportEnergyCons!$B$4:$B$10000)*1,("-"=[1]OUT_TransportEnergyCons!$C$4:$C$10000)*1,ISNUMBER(SEARCH("T_C*hy*GSL*ext",[1]OUT_TransportEnergyCons!$A$4:$A$10000))*1,[1]OUT_TransportEnergyCons!I$4:I$10000)</f>
        <v>0</v>
      </c>
    </row>
    <row r="2128" spans="2:11" x14ac:dyDescent="0.35">
      <c r="B2128" s="5" t="str">
        <f t="shared" si="1307"/>
        <v>SPS3</v>
      </c>
      <c r="C2128" s="5" t="str">
        <f t="shared" si="1308"/>
        <v>CH</v>
      </c>
      <c r="D2128" t="s">
        <v>2279</v>
      </c>
      <c r="E2128" t="str">
        <f t="shared" si="1309"/>
        <v>Million</v>
      </c>
      <c r="F2128" s="1" cm="1">
        <f t="array" ref="F2128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SUMPRODUCT(("var_ncap"=[1]OUT_TransportEnergyCons!$B$4:$B$10000)*1,("-"=[1]OUT_TransportEnergyCons!$C$4:$C$10000)*1,ISNUMBER(SEARCH("T_C*hy*GSL*s1",[1]OUT_TransportEnergyCons!$A$4:$A$10000))*1,[1]OUT_TransportEnergyCons!E$4:E$10000)</f>
        <v>7.1997579062769686E-4</v>
      </c>
      <c r="H2128" s="1" cm="1">
        <f t="array" ref="H2128">SUMPRODUCT(("var_ncap"=[1]OUT_TransportEnergyCons!$B$4:$B$10000)*1,("-"=[1]OUT_TransportEnergyCons!$C$4:$C$10000)*1,ISNUMBER(SEARCH("T_C*hy*GSL*s1",[1]OUT_TransportEnergyCons!$A$4:$A$10000))*1,[1]OUT_TransportEnergyCons!F$4:F$10000)</f>
        <v>1.308023994682843E-3</v>
      </c>
      <c r="I2128" s="1" cm="1">
        <f t="array" ref="I2128">SUMPRODUCT(("var_ncap"=[1]OUT_TransportEnergyCons!$B$4:$B$10000)*1,("-"=[1]OUT_TransportEnergyCons!$C$4:$C$10000)*1,ISNUMBER(SEARCH("T_C*hy*GSL*s1",[1]OUT_TransportEnergyCons!$A$4:$A$10000))*1,[1]OUT_TransportEnergyCons!G$4:G$10000)</f>
        <v>0.13834901598330102</v>
      </c>
      <c r="J2128" s="1" cm="1">
        <f t="array" ref="J2128">SUMPRODUCT(("var_ncap"=[1]OUT_TransportEnergyCons!$B$4:$B$10000)*1,("-"=[1]OUT_TransportEnergyCons!$C$4:$C$10000)*1,ISNUMBER(SEARCH("T_C*hy*GSL*s1",[1]OUT_TransportEnergyCons!$A$4:$A$10000))*1,[1]OUT_TransportEnergyCons!H$4:H$10000)</f>
        <v>0.10472416235814093</v>
      </c>
      <c r="K2128" s="1" cm="1">
        <f t="array" ref="K2128">SUMPRODUCT(("var_ncap"=[1]OUT_TransportEnergyCons!$B$4:$B$10000)*1,("-"=[1]OUT_TransportEnergyCons!$C$4:$C$10000)*1,ISNUMBER(SEARCH("T_C*hy*GSL*s1",[1]OUT_TransportEnergyCons!$A$4:$A$10000))*1,[1]OUT_TransportEnergyCons!I$4:I$10000)</f>
        <v>0</v>
      </c>
    </row>
    <row r="2129" spans="2:11" x14ac:dyDescent="0.35">
      <c r="B2129" s="5" t="str">
        <f t="shared" si="1307"/>
        <v>SPS3</v>
      </c>
      <c r="C2129" s="5" t="str">
        <f t="shared" si="1308"/>
        <v>CH</v>
      </c>
      <c r="D2129" t="s">
        <v>2280</v>
      </c>
      <c r="E2129" t="str">
        <f t="shared" si="1309"/>
        <v>Million</v>
      </c>
      <c r="F2129" s="1" cm="1">
        <f t="array" ref="F2129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SUMPRODUCT(("var_ncap"=[1]OUT_TransportEnergyCons!$B$4:$B$10000)*1,("-"=[1]OUT_TransportEnergyCons!$C$4:$C$10000)*1,ISNUMBER(SEARCH("T_C*hy*GSL*s2",[1]OUT_TransportEnergyCons!$A$4:$A$10000))*1,[1]OUT_TransportEnergyCons!E$4:E$10000)</f>
        <v>5.051969880509518E-2</v>
      </c>
      <c r="H2129" s="1" cm="1">
        <f t="array" ref="H2129">SUMPRODUCT(("var_ncap"=[1]OUT_TransportEnergyCons!$B$4:$B$10000)*1,("-"=[1]OUT_TransportEnergyCons!$C$4:$C$10000)*1,ISNUMBER(SEARCH("T_C*hy*GSL*s2",[1]OUT_TransportEnergyCons!$A$4:$A$10000))*1,[1]OUT_TransportEnergyCons!F$4:F$10000)</f>
        <v>0.14422834972871842</v>
      </c>
      <c r="I2129" s="1" cm="1">
        <f t="array" ref="I2129">SUMPRODUCT(("var_ncap"=[1]OUT_TransportEnergyCons!$B$4:$B$10000)*1,("-"=[1]OUT_TransportEnergyCons!$C$4:$C$10000)*1,ISNUMBER(SEARCH("T_C*hy*GSL*s2",[1]OUT_TransportEnergyCons!$A$4:$A$10000))*1,[1]OUT_TransportEnergyCons!G$4:G$10000)</f>
        <v>0.30524995061958798</v>
      </c>
      <c r="J2129" s="1" cm="1">
        <f t="array" ref="J2129">SUMPRODUCT(("var_ncap"=[1]OUT_TransportEnergyCons!$B$4:$B$10000)*1,("-"=[1]OUT_TransportEnergyCons!$C$4:$C$10000)*1,ISNUMBER(SEARCH("T_C*hy*GSL*s2",[1]OUT_TransportEnergyCons!$A$4:$A$10000))*1,[1]OUT_TransportEnergyCons!H$4:H$10000)</f>
        <v>3.1419697492967509E-5</v>
      </c>
      <c r="K2129" s="1" cm="1">
        <f t="array" ref="K2129">SUMPRODUCT(("var_ncap"=[1]OUT_TransportEnergyCons!$B$4:$B$10000)*1,("-"=[1]OUT_TransportEnergyCons!$C$4:$C$10000)*1,ISNUMBER(SEARCH("T_C*hy*GSL*s2",[1]OUT_TransportEnergyCons!$A$4:$A$10000))*1,[1]OUT_TransportEnergyCons!I$4:I$10000)</f>
        <v>0</v>
      </c>
    </row>
    <row r="2130" spans="2:11" x14ac:dyDescent="0.35">
      <c r="B2130" s="5" t="str">
        <f t="shared" si="1307"/>
        <v>SPS3</v>
      </c>
      <c r="C2130" s="5" t="str">
        <f t="shared" si="1308"/>
        <v>CH</v>
      </c>
      <c r="D2130" t="s">
        <v>2281</v>
      </c>
      <c r="E2130" t="str">
        <f t="shared" si="1309"/>
        <v>Million</v>
      </c>
      <c r="F2130" s="1" cm="1">
        <f t="array" ref="F2130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SUMPRODUCT(("var_ncap"=[1]OUT_TransportEnergyCons!$B$4:$B$10000)*1,("-"=[1]OUT_TransportEnergyCons!$C$4:$C$10000)*1,ISNUMBER(SEARCH("T_C*hy*GSL*s3",[1]OUT_TransportEnergyCons!$A$4:$A$10000))*1,[1]OUT_TransportEnergyCons!E$4:E$10000)</f>
        <v>6.7209621783741888E-2</v>
      </c>
      <c r="H2130" s="1" cm="1">
        <f t="array" ref="H2130">SUMPRODUCT(("var_ncap"=[1]OUT_TransportEnergyCons!$B$4:$B$10000)*1,("-"=[1]OUT_TransportEnergyCons!$C$4:$C$10000)*1,ISNUMBER(SEARCH("T_C*hy*GSL*s3",[1]OUT_TransportEnergyCons!$A$4:$A$10000))*1,[1]OUT_TransportEnergyCons!F$4:F$10000)</f>
        <v>2.0061587808165471E-4</v>
      </c>
      <c r="I2130" s="1" cm="1">
        <f t="array" ref="I2130">SUMPRODUCT(("var_ncap"=[1]OUT_TransportEnergyCons!$B$4:$B$10000)*1,("-"=[1]OUT_TransportEnergyCons!$C$4:$C$10000)*1,ISNUMBER(SEARCH("T_C*hy*GSL*s3",[1]OUT_TransportEnergyCons!$A$4:$A$10000))*1,[1]OUT_TransportEnergyCons!G$4:G$10000)</f>
        <v>1.610891261810308E-4</v>
      </c>
      <c r="J2130" s="1" cm="1">
        <f t="array" ref="J2130">SUMPRODUCT(("var_ncap"=[1]OUT_TransportEnergyCons!$B$4:$B$10000)*1,("-"=[1]OUT_TransportEnergyCons!$C$4:$C$10000)*1,ISNUMBER(SEARCH("T_C*hy*GSL*s3",[1]OUT_TransportEnergyCons!$A$4:$A$10000))*1,[1]OUT_TransportEnergyCons!H$4:H$10000)</f>
        <v>1.3722986844979809E-5</v>
      </c>
      <c r="K2130" s="1" cm="1">
        <f t="array" ref="K2130">SUMPRODUCT(("var_ncap"=[1]OUT_TransportEnergyCons!$B$4:$B$10000)*1,("-"=[1]OUT_TransportEnergyCons!$C$4:$C$10000)*1,ISNUMBER(SEARCH("T_C*hy*GSL*s3",[1]OUT_TransportEnergyCons!$A$4:$A$10000))*1,[1]OUT_TransportEnergyCons!I$4:I$10000)</f>
        <v>0</v>
      </c>
    </row>
    <row r="2131" spans="2:11" x14ac:dyDescent="0.35">
      <c r="B2131" s="5" t="str">
        <f t="shared" si="1307"/>
        <v>SPS3</v>
      </c>
      <c r="C2131" s="5" t="str">
        <f t="shared" si="1308"/>
        <v>CH</v>
      </c>
      <c r="D2131" t="s">
        <v>2282</v>
      </c>
      <c r="E2131" t="str">
        <f t="shared" si="1309"/>
        <v>Million</v>
      </c>
      <c r="F2131" s="1" cm="1">
        <f t="array" ref="F2131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SUMPRODUCT(("var_ncap"=[1]OUT_TransportEnergyCons!$B$4:$B$10000)*1,("-"=[1]OUT_TransportEnergyCons!$C$4:$C$10000)*1,ISNUMBER(SEARCH("T_C*hy*GSL*s4",[1]OUT_TransportEnergyCons!$A$4:$A$10000))*1,[1]OUT_TransportEnergyCons!E$4:E$10000)</f>
        <v>5.3918611103166941E-4</v>
      </c>
      <c r="H2131" s="1" cm="1">
        <f t="array" ref="H2131">SUMPRODUCT(("var_ncap"=[1]OUT_TransportEnergyCons!$B$4:$B$10000)*1,("-"=[1]OUT_TransportEnergyCons!$C$4:$C$10000)*1,ISNUMBER(SEARCH("T_C*hy*GSL*s4",[1]OUT_TransportEnergyCons!$A$4:$A$10000))*1,[1]OUT_TransportEnergyCons!F$4:F$10000)</f>
        <v>2.3146417998554602E-4</v>
      </c>
      <c r="I2131" s="1" cm="1">
        <f t="array" ref="I2131">SUMPRODUCT(("var_ncap"=[1]OUT_TransportEnergyCons!$B$4:$B$10000)*1,("-"=[1]OUT_TransportEnergyCons!$C$4:$C$10000)*1,ISNUMBER(SEARCH("T_C*hy*GSL*s4",[1]OUT_TransportEnergyCons!$A$4:$A$10000))*1,[1]OUT_TransportEnergyCons!G$4:G$10000)</f>
        <v>3.0283227433918099E-4</v>
      </c>
      <c r="J2131" s="1" cm="1">
        <f t="array" ref="J2131">SUMPRODUCT(("var_ncap"=[1]OUT_TransportEnergyCons!$B$4:$B$10000)*1,("-"=[1]OUT_TransportEnergyCons!$C$4:$C$10000)*1,ISNUMBER(SEARCH("T_C*hy*GSL*s4",[1]OUT_TransportEnergyCons!$A$4:$A$10000))*1,[1]OUT_TransportEnergyCons!H$4:H$10000)</f>
        <v>2.1657966631482668E-5</v>
      </c>
      <c r="K2131" s="1" cm="1">
        <f t="array" ref="K2131">SUMPRODUCT(("var_ncap"=[1]OUT_TransportEnergyCons!$B$4:$B$10000)*1,("-"=[1]OUT_TransportEnergyCons!$C$4:$C$10000)*1,ISNUMBER(SEARCH("T_C*hy*GSL*s4",[1]OUT_TransportEnergyCons!$A$4:$A$10000))*1,[1]OUT_TransportEnergyCons!I$4:I$10000)</f>
        <v>0</v>
      </c>
    </row>
    <row r="2132" spans="2:11" x14ac:dyDescent="0.35">
      <c r="B2132" s="5" t="str">
        <f t="shared" si="1307"/>
        <v>SPS3</v>
      </c>
      <c r="C2132" s="5" t="str">
        <f t="shared" si="1308"/>
        <v>CH</v>
      </c>
      <c r="D2132" t="s">
        <v>2283</v>
      </c>
      <c r="E2132" t="str">
        <f t="shared" si="1309"/>
        <v>Million</v>
      </c>
      <c r="F2132" s="1" cm="1">
        <f t="array" ref="F2132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SUMPRODUCT(("var_ncap"=[1]OUT_TransportEnergyCons!$B$4:$B$10000)*1,("-"=[1]OUT_TransportEnergyCons!$C$4:$C$10000)*1,ISNUMBER(SEARCH("T_C*ICE*GSL*ext",[1]OUT_TransportEnergyCons!$A$4:$A$10000))*1,[1]OUT_TransportEnergyCons!I$4:I$10000)</f>
        <v>0</v>
      </c>
    </row>
    <row r="2133" spans="2:11" x14ac:dyDescent="0.35">
      <c r="B2133" s="5" t="str">
        <f t="shared" si="1307"/>
        <v>SPS3</v>
      </c>
      <c r="C2133" s="5" t="str">
        <f t="shared" si="1308"/>
        <v>CH</v>
      </c>
      <c r="D2133" t="s">
        <v>2284</v>
      </c>
      <c r="E2133" t="str">
        <f t="shared" si="1309"/>
        <v>Million</v>
      </c>
      <c r="F2133" s="1" cm="1">
        <f t="array" ref="F2133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SUMPRODUCT(("var_ncap"=[1]OUT_TransportEnergyCons!$B$4:$B$10000)*1,("-"=[1]OUT_TransportEnergyCons!$C$4:$C$10000)*1,ISNUMBER(SEARCH("T_C*ICE*GSL*s1",[1]OUT_TransportEnergyCons!$A$4:$A$10000))*1,[1]OUT_TransportEnergyCons!E$4:E$10000)</f>
        <v>2.4773520186450901E-4</v>
      </c>
      <c r="H2133" s="1" cm="1">
        <f t="array" ref="H2133">SUMPRODUCT(("var_ncap"=[1]OUT_TransportEnergyCons!$B$4:$B$10000)*1,("-"=[1]OUT_TransportEnergyCons!$C$4:$C$10000)*1,ISNUMBER(SEARCH("T_C*ICE*GSL*s1",[1]OUT_TransportEnergyCons!$A$4:$A$10000))*1,[1]OUT_TransportEnergyCons!F$4:F$10000)</f>
        <v>6.8621740709105497E-2</v>
      </c>
      <c r="I2133" s="1" cm="1">
        <f t="array" ref="I2133">SUMPRODUCT(("var_ncap"=[1]OUT_TransportEnergyCons!$B$4:$B$10000)*1,("-"=[1]OUT_TransportEnergyCons!$C$4:$C$10000)*1,ISNUMBER(SEARCH("T_C*ICE*GSL*s1",[1]OUT_TransportEnergyCons!$A$4:$A$10000))*1,[1]OUT_TransportEnergyCons!G$4:G$10000)</f>
        <v>2.9085289447725602E-4</v>
      </c>
      <c r="J2133" s="1" cm="1">
        <f t="array" ref="J2133">SUMPRODUCT(("var_ncap"=[1]OUT_TransportEnergyCons!$B$4:$B$10000)*1,("-"=[1]OUT_TransportEnergyCons!$C$4:$C$10000)*1,ISNUMBER(SEARCH("T_C*ICE*GSL*s1",[1]OUT_TransportEnergyCons!$A$4:$A$10000))*1,[1]OUT_TransportEnergyCons!H$4:H$10000)</f>
        <v>0</v>
      </c>
      <c r="K2133" s="1" cm="1">
        <f t="array" ref="K2133">SUMPRODUCT(("var_ncap"=[1]OUT_TransportEnergyCons!$B$4:$B$10000)*1,("-"=[1]OUT_TransportEnergyCons!$C$4:$C$10000)*1,ISNUMBER(SEARCH("T_C*ICE*GSL*s1",[1]OUT_TransportEnergyCons!$A$4:$A$10000))*1,[1]OUT_TransportEnergyCons!I$4:I$10000)</f>
        <v>0</v>
      </c>
    </row>
    <row r="2134" spans="2:11" x14ac:dyDescent="0.35">
      <c r="B2134" s="5" t="str">
        <f t="shared" si="1307"/>
        <v>SPS3</v>
      </c>
      <c r="C2134" s="5" t="str">
        <f t="shared" si="1308"/>
        <v>CH</v>
      </c>
      <c r="D2134" t="s">
        <v>2285</v>
      </c>
      <c r="E2134" t="str">
        <f t="shared" si="1309"/>
        <v>Million</v>
      </c>
      <c r="F2134" s="1" cm="1">
        <f t="array" ref="F2134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SUMPRODUCT(("var_ncap"=[1]OUT_TransportEnergyCons!$B$4:$B$10000)*1,("-"=[1]OUT_TransportEnergyCons!$C$4:$C$10000)*1,ISNUMBER(SEARCH("T_C*ICE*GSL*s2",[1]OUT_TransportEnergyCons!$A$4:$A$10000))*1,[1]OUT_TransportEnergyCons!E$4:E$10000)</f>
        <v>1.09090475538804E-4</v>
      </c>
      <c r="H2134" s="1" cm="1">
        <f t="array" ref="H2134">SUMPRODUCT(("var_ncap"=[1]OUT_TransportEnergyCons!$B$4:$B$10000)*1,("-"=[1]OUT_TransportEnergyCons!$C$4:$C$10000)*1,ISNUMBER(SEARCH("T_C*ICE*GSL*s2",[1]OUT_TransportEnergyCons!$A$4:$A$10000))*1,[1]OUT_TransportEnergyCons!F$4:F$10000)</f>
        <v>3.8313741298077E-4</v>
      </c>
      <c r="I2134" s="1" cm="1">
        <f t="array" ref="I2134">SUMPRODUCT(("var_ncap"=[1]OUT_TransportEnergyCons!$B$4:$B$10000)*1,("-"=[1]OUT_TransportEnergyCons!$C$4:$C$10000)*1,ISNUMBER(SEARCH("T_C*ICE*GSL*s2",[1]OUT_TransportEnergyCons!$A$4:$A$10000))*1,[1]OUT_TransportEnergyCons!G$4:G$10000)</f>
        <v>1.6580659265685101E-4</v>
      </c>
      <c r="J2134" s="1" cm="1">
        <f t="array" ref="J2134">SUMPRODUCT(("var_ncap"=[1]OUT_TransportEnergyCons!$B$4:$B$10000)*1,("-"=[1]OUT_TransportEnergyCons!$C$4:$C$10000)*1,ISNUMBER(SEARCH("T_C*ICE*GSL*s2",[1]OUT_TransportEnergyCons!$A$4:$A$10000))*1,[1]OUT_TransportEnergyCons!H$4:H$10000)</f>
        <v>0</v>
      </c>
      <c r="K2134" s="1" cm="1">
        <f t="array" ref="K2134">SUMPRODUCT(("var_ncap"=[1]OUT_TransportEnergyCons!$B$4:$B$10000)*1,("-"=[1]OUT_TransportEnergyCons!$C$4:$C$10000)*1,ISNUMBER(SEARCH("T_C*ICE*GSL*s2",[1]OUT_TransportEnergyCons!$A$4:$A$10000))*1,[1]OUT_TransportEnergyCons!I$4:I$10000)</f>
        <v>0</v>
      </c>
    </row>
    <row r="2135" spans="2:11" x14ac:dyDescent="0.35">
      <c r="B2135" s="5" t="str">
        <f t="shared" si="1307"/>
        <v>SPS3</v>
      </c>
      <c r="C2135" s="5" t="str">
        <f t="shared" si="1308"/>
        <v>CH</v>
      </c>
      <c r="D2135" t="s">
        <v>2286</v>
      </c>
      <c r="E2135" t="str">
        <f t="shared" si="1309"/>
        <v>Million</v>
      </c>
      <c r="F2135" s="1" cm="1">
        <f t="array" ref="F2135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SUMPRODUCT(("var_ncap"=[1]OUT_TransportEnergyCons!$B$4:$B$10000)*1,("-"=[1]OUT_TransportEnergyCons!$C$4:$C$10000)*1,ISNUMBER(SEARCH("T_C*ICE*GSL*s3",[1]OUT_TransportEnergyCons!$A$4:$A$10000))*1,[1]OUT_TransportEnergyCons!E$4:E$10000)</f>
        <v>0.11209876623781</v>
      </c>
      <c r="H2135" s="1" cm="1">
        <f t="array" ref="H2135">SUMPRODUCT(("var_ncap"=[1]OUT_TransportEnergyCons!$B$4:$B$10000)*1,("-"=[1]OUT_TransportEnergyCons!$C$4:$C$10000)*1,ISNUMBER(SEARCH("T_C*ICE*GSL*s3",[1]OUT_TransportEnergyCons!$A$4:$A$10000))*1,[1]OUT_TransportEnergyCons!F$4:F$10000)</f>
        <v>4.0477084911812698E-2</v>
      </c>
      <c r="I2135" s="1" cm="1">
        <f t="array" ref="I2135">SUMPRODUCT(("var_ncap"=[1]OUT_TransportEnergyCons!$B$4:$B$10000)*1,("-"=[1]OUT_TransportEnergyCons!$C$4:$C$10000)*1,ISNUMBER(SEARCH("T_C*ICE*GSL*s3",[1]OUT_TransportEnergyCons!$A$4:$A$10000))*1,[1]OUT_TransportEnergyCons!G$4:G$10000)</f>
        <v>1.85779914943794E-4</v>
      </c>
      <c r="J2135" s="1" cm="1">
        <f t="array" ref="J2135">SUMPRODUCT(("var_ncap"=[1]OUT_TransportEnergyCons!$B$4:$B$10000)*1,("-"=[1]OUT_TransportEnergyCons!$C$4:$C$10000)*1,ISNUMBER(SEARCH("T_C*ICE*GSL*s3",[1]OUT_TransportEnergyCons!$A$4:$A$10000))*1,[1]OUT_TransportEnergyCons!H$4:H$10000)</f>
        <v>0</v>
      </c>
      <c r="K2135" s="1" cm="1">
        <f t="array" ref="K2135">SUMPRODUCT(("var_ncap"=[1]OUT_TransportEnergyCons!$B$4:$B$10000)*1,("-"=[1]OUT_TransportEnergyCons!$C$4:$C$10000)*1,ISNUMBER(SEARCH("T_C*ICE*GSL*s3",[1]OUT_TransportEnergyCons!$A$4:$A$10000))*1,[1]OUT_TransportEnergyCons!I$4:I$10000)</f>
        <v>0</v>
      </c>
    </row>
    <row r="2136" spans="2:11" x14ac:dyDescent="0.35">
      <c r="B2136" s="5" t="str">
        <f t="shared" si="1307"/>
        <v>SPS3</v>
      </c>
      <c r="C2136" s="5" t="str">
        <f t="shared" si="1308"/>
        <v>CH</v>
      </c>
      <c r="D2136" t="s">
        <v>2287</v>
      </c>
      <c r="E2136" t="str">
        <f t="shared" si="1309"/>
        <v>Million</v>
      </c>
      <c r="F2136" s="1" cm="1">
        <f t="array" ref="F2136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SUMPRODUCT(("var_ncap"=[1]OUT_TransportEnergyCons!$B$4:$B$10000)*1,("-"=[1]OUT_TransportEnergyCons!$C$4:$C$10000)*1,ISNUMBER(SEARCH("T_C*ICE*GSL*s4",[1]OUT_TransportEnergyCons!$A$4:$A$10000))*1,[1]OUT_TransportEnergyCons!E$4:E$10000)</f>
        <v>7.19865506454113E-4</v>
      </c>
      <c r="H2136" s="1" cm="1">
        <f t="array" ref="H2136">SUMPRODUCT(("var_ncap"=[1]OUT_TransportEnergyCons!$B$4:$B$10000)*1,("-"=[1]OUT_TransportEnergyCons!$C$4:$C$10000)*1,ISNUMBER(SEARCH("T_C*ICE*GSL*s4",[1]OUT_TransportEnergyCons!$A$4:$A$10000))*1,[1]OUT_TransportEnergyCons!F$4:F$10000)</f>
        <v>0.107241800133661</v>
      </c>
      <c r="I2136" s="1" cm="1">
        <f t="array" ref="I2136">SUMPRODUCT(("var_ncap"=[1]OUT_TransportEnergyCons!$B$4:$B$10000)*1,("-"=[1]OUT_TransportEnergyCons!$C$4:$C$10000)*1,ISNUMBER(SEARCH("T_C*ICE*GSL*s4",[1]OUT_TransportEnergyCons!$A$4:$A$10000))*1,[1]OUT_TransportEnergyCons!G$4:G$10000)</f>
        <v>0.72364329857666698</v>
      </c>
      <c r="J2136" s="1" cm="1">
        <f t="array" ref="J2136">SUMPRODUCT(("var_ncap"=[1]OUT_TransportEnergyCons!$B$4:$B$10000)*1,("-"=[1]OUT_TransportEnergyCons!$C$4:$C$10000)*1,ISNUMBER(SEARCH("T_C*ICE*GSL*s4",[1]OUT_TransportEnergyCons!$A$4:$A$10000))*1,[1]OUT_TransportEnergyCons!H$4:H$10000)</f>
        <v>0</v>
      </c>
      <c r="K2136" s="1" cm="1">
        <f t="array" ref="K2136">SUMPRODUCT(("var_ncap"=[1]OUT_TransportEnergyCons!$B$4:$B$10000)*1,("-"=[1]OUT_TransportEnergyCons!$C$4:$C$10000)*1,ISNUMBER(SEARCH("T_C*ICE*GSL*s4",[1]OUT_TransportEnergyCons!$A$4:$A$10000))*1,[1]OUT_TransportEnergyCons!I$4:I$10000)</f>
        <v>0</v>
      </c>
    </row>
    <row r="2137" spans="2:11" x14ac:dyDescent="0.35">
      <c r="B2137" s="5" t="str">
        <f t="shared" si="1307"/>
        <v>SPS3</v>
      </c>
      <c r="C2137" s="5" t="str">
        <f t="shared" si="1308"/>
        <v>CH</v>
      </c>
      <c r="D2137" t="s">
        <v>2288</v>
      </c>
      <c r="E2137" t="str">
        <f t="shared" si="1309"/>
        <v>Million</v>
      </c>
      <c r="F2137" s="1" cm="1">
        <f t="array" ref="F2137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SUMPRODUCT(("var_ncap"=[1]OUT_TransportEnergyCons!$B$4:$B$10000)*1,("-"=[1]OUT_TransportEnergyCons!$C$4:$C$10000)*1,ISNUMBER(SEARCH("T_C*mhy*GSL*s1",[1]OUT_TransportEnergyCons!$A$4:$A$10000))*1,[1]OUT_TransportEnergyCons!E$4:E$10000)</f>
        <v>8.5455974412680901E-5</v>
      </c>
      <c r="H2137" s="1" cm="1">
        <f t="array" ref="H2137">SUMPRODUCT(("var_ncap"=[1]OUT_TransportEnergyCons!$B$4:$B$10000)*1,("-"=[1]OUT_TransportEnergyCons!$C$4:$C$10000)*1,ISNUMBER(SEARCH("T_C*mhy*GSL*s1",[1]OUT_TransportEnergyCons!$A$4:$A$10000))*1,[1]OUT_TransportEnergyCons!F$4:F$10000)</f>
        <v>1.60527127765823E-4</v>
      </c>
      <c r="I2137" s="1" cm="1">
        <f t="array" ref="I2137">SUMPRODUCT(("var_ncap"=[1]OUT_TransportEnergyCons!$B$4:$B$10000)*1,("-"=[1]OUT_TransportEnergyCons!$C$4:$C$10000)*1,ISNUMBER(SEARCH("T_C*mhy*GSL*s1",[1]OUT_TransportEnergyCons!$A$4:$A$10000))*1,[1]OUT_TransportEnergyCons!G$4:G$10000)</f>
        <v>1.4051484065202101E-4</v>
      </c>
      <c r="J2137" s="1" cm="1">
        <f t="array" ref="J2137">SUMPRODUCT(("var_ncap"=[1]OUT_TransportEnergyCons!$B$4:$B$10000)*1,("-"=[1]OUT_TransportEnergyCons!$C$4:$C$10000)*1,ISNUMBER(SEARCH("T_C*mhy*GSL*s1",[1]OUT_TransportEnergyCons!$A$4:$A$10000))*1,[1]OUT_TransportEnergyCons!H$4:H$10000)</f>
        <v>1.49392794459313E-5</v>
      </c>
      <c r="K2137" s="1" cm="1">
        <f t="array" ref="K2137">SUMPRODUCT(("var_ncap"=[1]OUT_TransportEnergyCons!$B$4:$B$10000)*1,("-"=[1]OUT_TransportEnergyCons!$C$4:$C$10000)*1,ISNUMBER(SEARCH("T_C*mhy*GSL*s1",[1]OUT_TransportEnergyCons!$A$4:$A$10000))*1,[1]OUT_TransportEnergyCons!I$4:I$10000)</f>
        <v>0</v>
      </c>
    </row>
    <row r="2138" spans="2:11" x14ac:dyDescent="0.35">
      <c r="B2138" s="5" t="str">
        <f t="shared" si="1307"/>
        <v>SPS3</v>
      </c>
      <c r="C2138" s="5" t="str">
        <f t="shared" si="1308"/>
        <v>CH</v>
      </c>
      <c r="D2138" t="s">
        <v>2289</v>
      </c>
      <c r="E2138" t="str">
        <f t="shared" si="1309"/>
        <v>Million</v>
      </c>
      <c r="F2138" s="1" cm="1">
        <f t="array" ref="F2138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SUMPRODUCT(("var_ncap"=[1]OUT_TransportEnergyCons!$B$4:$B$10000)*1,("-"=[1]OUT_TransportEnergyCons!$C$4:$C$10000)*1,ISNUMBER(SEARCH("T_C*mhy*GSL*s2",[1]OUT_TransportEnergyCons!$A$4:$A$10000))*1,[1]OUT_TransportEnergyCons!E$4:E$10000)</f>
        <v>3.5960877807077997E-5</v>
      </c>
      <c r="H2138" s="1" cm="1">
        <f t="array" ref="H2138">SUMPRODUCT(("var_ncap"=[1]OUT_TransportEnergyCons!$B$4:$B$10000)*1,("-"=[1]OUT_TransportEnergyCons!$C$4:$C$10000)*1,ISNUMBER(SEARCH("T_C*mhy*GSL*s2",[1]OUT_TransportEnergyCons!$A$4:$A$10000))*1,[1]OUT_TransportEnergyCons!F$4:F$10000)</f>
        <v>7.8377520195444905E-5</v>
      </c>
      <c r="I2138" s="1" cm="1">
        <f t="array" ref="I2138">SUMPRODUCT(("var_ncap"=[1]OUT_TransportEnergyCons!$B$4:$B$10000)*1,("-"=[1]OUT_TransportEnergyCons!$C$4:$C$10000)*1,ISNUMBER(SEARCH("T_C*mhy*GSL*s2",[1]OUT_TransportEnergyCons!$A$4:$A$10000))*1,[1]OUT_TransportEnergyCons!G$4:G$10000)</f>
        <v>9.2217454248953002E-5</v>
      </c>
      <c r="J2138" s="1" cm="1">
        <f t="array" ref="J2138">SUMPRODUCT(("var_ncap"=[1]OUT_TransportEnergyCons!$B$4:$B$10000)*1,("-"=[1]OUT_TransportEnergyCons!$C$4:$C$10000)*1,ISNUMBER(SEARCH("T_C*mhy*GSL*s2",[1]OUT_TransportEnergyCons!$A$4:$A$10000))*1,[1]OUT_TransportEnergyCons!H$4:H$10000)</f>
        <v>5.9732841202385101E-6</v>
      </c>
      <c r="K2138" s="1" cm="1">
        <f t="array" ref="K2138">SUMPRODUCT(("var_ncap"=[1]OUT_TransportEnergyCons!$B$4:$B$10000)*1,("-"=[1]OUT_TransportEnergyCons!$C$4:$C$10000)*1,ISNUMBER(SEARCH("T_C*mhy*GSL*s2",[1]OUT_TransportEnergyCons!$A$4:$A$10000))*1,[1]OUT_TransportEnergyCons!I$4:I$10000)</f>
        <v>0</v>
      </c>
    </row>
    <row r="2139" spans="2:11" x14ac:dyDescent="0.35">
      <c r="B2139" s="5" t="str">
        <f t="shared" si="1307"/>
        <v>SPS3</v>
      </c>
      <c r="C2139" s="5" t="str">
        <f t="shared" si="1308"/>
        <v>CH</v>
      </c>
      <c r="D2139" t="s">
        <v>2290</v>
      </c>
      <c r="E2139" t="str">
        <f t="shared" si="1309"/>
        <v>Million</v>
      </c>
      <c r="F2139" s="1" cm="1">
        <f t="array" ref="F2139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SUMPRODUCT(("var_ncap"=[1]OUT_TransportEnergyCons!$B$4:$B$10000)*1,("-"=[1]OUT_TransportEnergyCons!$C$4:$C$10000)*1,ISNUMBER(SEARCH("T_C*mhy*GSL*s3",[1]OUT_TransportEnergyCons!$A$4:$A$10000))*1,[1]OUT_TransportEnergyCons!E$4:E$10000)</f>
        <v>4.6353475261481403E-5</v>
      </c>
      <c r="H2139" s="1" cm="1">
        <f t="array" ref="H2139">SUMPRODUCT(("var_ncap"=[1]OUT_TransportEnergyCons!$B$4:$B$10000)*1,("-"=[1]OUT_TransportEnergyCons!$C$4:$C$10000)*1,ISNUMBER(SEARCH("T_C*mhy*GSL*s3",[1]OUT_TransportEnergyCons!$A$4:$A$10000))*1,[1]OUT_TransportEnergyCons!F$4:F$10000)</f>
        <v>7.6191536141724701E-5</v>
      </c>
      <c r="I2139" s="1" cm="1">
        <f t="array" ref="I2139">SUMPRODUCT(("var_ncap"=[1]OUT_TransportEnergyCons!$B$4:$B$10000)*1,("-"=[1]OUT_TransportEnergyCons!$C$4:$C$10000)*1,ISNUMBER(SEARCH("T_C*mhy*GSL*s3",[1]OUT_TransportEnergyCons!$A$4:$A$10000))*1,[1]OUT_TransportEnergyCons!G$4:G$10000)</f>
        <v>8.4217641324906806E-5</v>
      </c>
      <c r="J2139" s="1" cm="1">
        <f t="array" ref="J2139">SUMPRODUCT(("var_ncap"=[1]OUT_TransportEnergyCons!$B$4:$B$10000)*1,("-"=[1]OUT_TransportEnergyCons!$C$4:$C$10000)*1,ISNUMBER(SEARCH("T_C*mhy*GSL*s3",[1]OUT_TransportEnergyCons!$A$4:$A$10000))*1,[1]OUT_TransportEnergyCons!H$4:H$10000)</f>
        <v>4.6229721998024503E-6</v>
      </c>
      <c r="K2139" s="1" cm="1">
        <f t="array" ref="K2139">SUMPRODUCT(("var_ncap"=[1]OUT_TransportEnergyCons!$B$4:$B$10000)*1,("-"=[1]OUT_TransportEnergyCons!$C$4:$C$10000)*1,ISNUMBER(SEARCH("T_C*mhy*GSL*s3",[1]OUT_TransportEnergyCons!$A$4:$A$10000))*1,[1]OUT_TransportEnergyCons!I$4:I$10000)</f>
        <v>0</v>
      </c>
    </row>
    <row r="2140" spans="2:11" x14ac:dyDescent="0.35">
      <c r="B2140" s="5" t="str">
        <f t="shared" si="1307"/>
        <v>SPS3</v>
      </c>
      <c r="C2140" s="5" t="str">
        <f t="shared" si="1308"/>
        <v>CH</v>
      </c>
      <c r="D2140" t="s">
        <v>2291</v>
      </c>
      <c r="E2140" t="str">
        <f t="shared" si="1309"/>
        <v>Million</v>
      </c>
      <c r="F2140" s="1" cm="1">
        <f t="array" ref="F2140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SUMPRODUCT(("var_ncap"=[1]OUT_TransportEnergyCons!$B$4:$B$10000)*1,("-"=[1]OUT_TransportEnergyCons!$C$4:$C$10000)*1,ISNUMBER(SEARCH("T_C*mhy*GSL*s4",[1]OUT_TransportEnergyCons!$A$4:$A$10000))*1,[1]OUT_TransportEnergyCons!E$4:E$10000)</f>
        <v>7.9222245375921399E-5</v>
      </c>
      <c r="H2140" s="1" cm="1">
        <f t="array" ref="H2140">SUMPRODUCT(("var_ncap"=[1]OUT_TransportEnergyCons!$B$4:$B$10000)*1,("-"=[1]OUT_TransportEnergyCons!$C$4:$C$10000)*1,ISNUMBER(SEARCH("T_C*mhy*GSL*s4",[1]OUT_TransportEnergyCons!$A$4:$A$10000))*1,[1]OUT_TransportEnergyCons!F$4:F$10000)</f>
        <v>1.25884862664494E-4</v>
      </c>
      <c r="I2140" s="1" cm="1">
        <f t="array" ref="I2140">SUMPRODUCT(("var_ncap"=[1]OUT_TransportEnergyCons!$B$4:$B$10000)*1,("-"=[1]OUT_TransportEnergyCons!$C$4:$C$10000)*1,ISNUMBER(SEARCH("T_C*mhy*GSL*s4",[1]OUT_TransportEnergyCons!$A$4:$A$10000))*1,[1]OUT_TransportEnergyCons!G$4:G$10000)</f>
        <v>1.9562124406095199E-4</v>
      </c>
      <c r="J2140" s="1" cm="1">
        <f t="array" ref="J2140">SUMPRODUCT(("var_ncap"=[1]OUT_TransportEnergyCons!$B$4:$B$10000)*1,("-"=[1]OUT_TransportEnergyCons!$C$4:$C$10000)*1,ISNUMBER(SEARCH("T_C*mhy*GSL*s4",[1]OUT_TransportEnergyCons!$A$4:$A$10000))*1,[1]OUT_TransportEnergyCons!H$4:H$10000)</f>
        <v>7.4586863485367702E-6</v>
      </c>
      <c r="K2140" s="1" cm="1">
        <f t="array" ref="K2140">SUMPRODUCT(("var_ncap"=[1]OUT_TransportEnergyCons!$B$4:$B$10000)*1,("-"=[1]OUT_TransportEnergyCons!$C$4:$C$10000)*1,ISNUMBER(SEARCH("T_C*mhy*GSL*s4",[1]OUT_TransportEnergyCons!$A$4:$A$10000))*1,[1]OUT_TransportEnergyCons!I$4:I$10000)</f>
        <v>0</v>
      </c>
    </row>
    <row r="2141" spans="2:11" x14ac:dyDescent="0.35">
      <c r="B2141" s="5" t="str">
        <f t="shared" si="1307"/>
        <v>SPS3</v>
      </c>
      <c r="C2141" s="5" t="str">
        <f t="shared" si="1308"/>
        <v>CH</v>
      </c>
      <c r="D2141" t="s">
        <v>2292</v>
      </c>
      <c r="E2141" t="str">
        <f t="shared" si="1309"/>
        <v>Million</v>
      </c>
      <c r="F2141" s="1" cm="1">
        <f t="array" ref="F2141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1" s="1" cm="1">
        <f t="array" ref="H2141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1" s="1" cm="1">
        <f t="array" ref="I2141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1" s="1" cm="1">
        <f t="array" ref="J2141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1" s="1" cm="1">
        <f t="array" ref="K2141">SUMPRODUCT(("var_ncap"=[1]OUT_TransportEnergyCons!$B$4:$B$10000)*1,("-"=[1]OUT_TransportEnergyCons!$C$4:$C$10000)*1,ISNUMBER(SEARCH("T_C*hy*dsl*ext",[1]OUT_TransportEnergyCons!$A$4:$A$10000))*1,[1]OUT_TransportEnergyCons!I$4:I$10000)</f>
        <v>0</v>
      </c>
    </row>
    <row r="2142" spans="2:11" x14ac:dyDescent="0.35">
      <c r="B2142" s="5" t="str">
        <f t="shared" si="1307"/>
        <v>SPS3</v>
      </c>
      <c r="C2142" s="5" t="str">
        <f t="shared" si="1308"/>
        <v>CH</v>
      </c>
      <c r="D2142" t="s">
        <v>2293</v>
      </c>
      <c r="E2142" t="str">
        <f t="shared" si="1309"/>
        <v>Million</v>
      </c>
      <c r="F2142" s="1" cm="1">
        <f t="array" ref="F2142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SUMPRODUCT(("var_ncap"=[1]OUT_TransportEnergyCons!$B$4:$B$10000)*1,("-"=[1]OUT_TransportEnergyCons!$C$4:$C$10000)*1,ISNUMBER(SEARCH("T_C*hy*dsl*s1",[1]OUT_TransportEnergyCons!$A$4:$A$10000))*1,[1]OUT_TransportEnergyCons!E$4:E$10000)</f>
        <v>4.247275904627134E-2</v>
      </c>
      <c r="H2142" s="1" cm="1">
        <f t="array" ref="H2142">SUMPRODUCT(("var_ncap"=[1]OUT_TransportEnergyCons!$B$4:$B$10000)*1,("-"=[1]OUT_TransportEnergyCons!$C$4:$C$10000)*1,ISNUMBER(SEARCH("T_C*hy*dsl*s1",[1]OUT_TransportEnergyCons!$A$4:$A$10000))*1,[1]OUT_TransportEnergyCons!F$4:F$10000)</f>
        <v>4.8819088287770504E-3</v>
      </c>
      <c r="I2142" s="1" cm="1">
        <f t="array" ref="I2142">SUMPRODUCT(("var_ncap"=[1]OUT_TransportEnergyCons!$B$4:$B$10000)*1,("-"=[1]OUT_TransportEnergyCons!$C$4:$C$10000)*1,ISNUMBER(SEARCH("T_C*hy*dsl*s1",[1]OUT_TransportEnergyCons!$A$4:$A$10000))*1,[1]OUT_TransportEnergyCons!G$4:G$10000)</f>
        <v>9.8791528784892592E-3</v>
      </c>
      <c r="J2142" s="1" cm="1">
        <f t="array" ref="J2142">SUMPRODUCT(("var_ncap"=[1]OUT_TransportEnergyCons!$B$4:$B$10000)*1,("-"=[1]OUT_TransportEnergyCons!$C$4:$C$10000)*1,ISNUMBER(SEARCH("T_C*hy*dsl*s1",[1]OUT_TransportEnergyCons!$A$4:$A$10000))*1,[1]OUT_TransportEnergyCons!H$4:H$10000)</f>
        <v>4.4462978125389664E-2</v>
      </c>
      <c r="K2142" s="1" cm="1">
        <f t="array" ref="K2142">SUMPRODUCT(("var_ncap"=[1]OUT_TransportEnergyCons!$B$4:$B$10000)*1,("-"=[1]OUT_TransportEnergyCons!$C$4:$C$10000)*1,ISNUMBER(SEARCH("T_C*hy*dsl*s1",[1]OUT_TransportEnergyCons!$A$4:$A$10000))*1,[1]OUT_TransportEnergyCons!I$4:I$10000)</f>
        <v>0</v>
      </c>
    </row>
    <row r="2143" spans="2:11" x14ac:dyDescent="0.35">
      <c r="B2143" s="5" t="str">
        <f t="shared" si="1307"/>
        <v>SPS3</v>
      </c>
      <c r="C2143" s="5" t="str">
        <f t="shared" si="1308"/>
        <v>CH</v>
      </c>
      <c r="D2143" t="s">
        <v>2294</v>
      </c>
      <c r="E2143" t="str">
        <f t="shared" si="1309"/>
        <v>Million</v>
      </c>
      <c r="F2143" s="1" cm="1">
        <f t="array" ref="F2143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SUMPRODUCT(("var_ncap"=[1]OUT_TransportEnergyCons!$B$4:$B$10000)*1,("-"=[1]OUT_TransportEnergyCons!$C$4:$C$10000)*1,ISNUMBER(SEARCH("T_C*hy*dsl*s2",[1]OUT_TransportEnergyCons!$A$4:$A$10000))*1,[1]OUT_TransportEnergyCons!E$4:E$10000)</f>
        <v>8.2876888102177665E-2</v>
      </c>
      <c r="H2143" s="1" cm="1">
        <f t="array" ref="H2143">SUMPRODUCT(("var_ncap"=[1]OUT_TransportEnergyCons!$B$4:$B$10000)*1,("-"=[1]OUT_TransportEnergyCons!$C$4:$C$10000)*1,ISNUMBER(SEARCH("T_C*hy*dsl*s2",[1]OUT_TransportEnergyCons!$A$4:$A$10000))*1,[1]OUT_TransportEnergyCons!F$4:F$10000)</f>
        <v>0.12030555696119129</v>
      </c>
      <c r="I2143" s="1" cm="1">
        <f t="array" ref="I2143">SUMPRODUCT(("var_ncap"=[1]OUT_TransportEnergyCons!$B$4:$B$10000)*1,("-"=[1]OUT_TransportEnergyCons!$C$4:$C$10000)*1,ISNUMBER(SEARCH("T_C*hy*dsl*s2",[1]OUT_TransportEnergyCons!$A$4:$A$10000))*1,[1]OUT_TransportEnergyCons!G$4:G$10000)</f>
        <v>0.28800882763433788</v>
      </c>
      <c r="J2143" s="1" cm="1">
        <f t="array" ref="J2143">SUMPRODUCT(("var_ncap"=[1]OUT_TransportEnergyCons!$B$4:$B$10000)*1,("-"=[1]OUT_TransportEnergyCons!$C$4:$C$10000)*1,ISNUMBER(SEARCH("T_C*hy*dsl*s2",[1]OUT_TransportEnergyCons!$A$4:$A$10000))*1,[1]OUT_TransportEnergyCons!H$4:H$10000)</f>
        <v>2.9840325159986158E-5</v>
      </c>
      <c r="K2143" s="1" cm="1">
        <f t="array" ref="K2143">SUMPRODUCT(("var_ncap"=[1]OUT_TransportEnergyCons!$B$4:$B$10000)*1,("-"=[1]OUT_TransportEnergyCons!$C$4:$C$10000)*1,ISNUMBER(SEARCH("T_C*hy*dsl*s2",[1]OUT_TransportEnergyCons!$A$4:$A$10000))*1,[1]OUT_TransportEnergyCons!I$4:I$10000)</f>
        <v>0</v>
      </c>
    </row>
    <row r="2144" spans="2:11" x14ac:dyDescent="0.35">
      <c r="B2144" s="5" t="str">
        <f t="shared" si="1307"/>
        <v>SPS3</v>
      </c>
      <c r="C2144" s="5" t="str">
        <f t="shared" si="1308"/>
        <v>CH</v>
      </c>
      <c r="D2144" t="s">
        <v>2295</v>
      </c>
      <c r="E2144" t="str">
        <f t="shared" si="1309"/>
        <v>Million</v>
      </c>
      <c r="F2144" s="1" cm="1">
        <f t="array" ref="F2144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SUMPRODUCT(("var_ncap"=[1]OUT_TransportEnergyCons!$B$4:$B$10000)*1,("-"=[1]OUT_TransportEnergyCons!$C$4:$C$10000)*1,ISNUMBER(SEARCH("T_C*hy*dsl*s3",[1]OUT_TransportEnergyCons!$A$4:$A$10000))*1,[1]OUT_TransportEnergyCons!E$4:E$10000)</f>
        <v>2.6732898953699943E-4</v>
      </c>
      <c r="H2144" s="1" cm="1">
        <f t="array" ref="H2144">SUMPRODUCT(("var_ncap"=[1]OUT_TransportEnergyCons!$B$4:$B$10000)*1,("-"=[1]OUT_TransportEnergyCons!$C$4:$C$10000)*1,ISNUMBER(SEARCH("T_C*hy*dsl*s3",[1]OUT_TransportEnergyCons!$A$4:$A$10000))*1,[1]OUT_TransportEnergyCons!F$4:F$10000)</f>
        <v>1.582711690896948E-4</v>
      </c>
      <c r="I2144" s="1" cm="1">
        <f t="array" ref="I2144">SUMPRODUCT(("var_ncap"=[1]OUT_TransportEnergyCons!$B$4:$B$10000)*1,("-"=[1]OUT_TransportEnergyCons!$C$4:$C$10000)*1,ISNUMBER(SEARCH("T_C*hy*dsl*s3",[1]OUT_TransportEnergyCons!$A$4:$A$10000))*1,[1]OUT_TransportEnergyCons!G$4:G$10000)</f>
        <v>1.5993538711781729E-4</v>
      </c>
      <c r="J2144" s="1" cm="1">
        <f t="array" ref="J2144">SUMPRODUCT(("var_ncap"=[1]OUT_TransportEnergyCons!$B$4:$B$10000)*1,("-"=[1]OUT_TransportEnergyCons!$C$4:$C$10000)*1,ISNUMBER(SEARCH("T_C*hy*dsl*s3",[1]OUT_TransportEnergyCons!$A$4:$A$10000))*1,[1]OUT_TransportEnergyCons!H$4:H$10000)</f>
        <v>1.1609044400110719E-5</v>
      </c>
      <c r="K2144" s="1" cm="1">
        <f t="array" ref="K2144">SUMPRODUCT(("var_ncap"=[1]OUT_TransportEnergyCons!$B$4:$B$10000)*1,("-"=[1]OUT_TransportEnergyCons!$C$4:$C$10000)*1,ISNUMBER(SEARCH("T_C*hy*dsl*s3",[1]OUT_TransportEnergyCons!$A$4:$A$10000))*1,[1]OUT_TransportEnergyCons!I$4:I$10000)</f>
        <v>0</v>
      </c>
    </row>
    <row r="2145" spans="2:11" x14ac:dyDescent="0.35">
      <c r="B2145" s="5" t="str">
        <f t="shared" si="1307"/>
        <v>SPS3</v>
      </c>
      <c r="C2145" s="5" t="str">
        <f t="shared" si="1308"/>
        <v>CH</v>
      </c>
      <c r="D2145" t="s">
        <v>2296</v>
      </c>
      <c r="E2145" t="str">
        <f t="shared" si="1309"/>
        <v>Million</v>
      </c>
      <c r="F2145" s="1" cm="1">
        <f t="array" ref="F2145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SUMPRODUCT(("var_ncap"=[1]OUT_TransportEnergyCons!$B$4:$B$10000)*1,("-"=[1]OUT_TransportEnergyCons!$C$4:$C$10000)*1,ISNUMBER(SEARCH("T_C*hy*dsl*s4",[1]OUT_TransportEnergyCons!$A$4:$A$10000))*1,[1]OUT_TransportEnergyCons!E$4:E$10000)</f>
        <v>4.6258298768757762E-4</v>
      </c>
      <c r="H2145" s="1" cm="1">
        <f t="array" ref="H2145">SUMPRODUCT(("var_ncap"=[1]OUT_TransportEnergyCons!$B$4:$B$10000)*1,("-"=[1]OUT_TransportEnergyCons!$C$4:$C$10000)*1,ISNUMBER(SEARCH("T_C*hy*dsl*s4",[1]OUT_TransportEnergyCons!$A$4:$A$10000))*1,[1]OUT_TransportEnergyCons!F$4:F$10000)</f>
        <v>1.428060116341296E-4</v>
      </c>
      <c r="I2145" s="1" cm="1">
        <f t="array" ref="I2145">SUMPRODUCT(("var_ncap"=[1]OUT_TransportEnergyCons!$B$4:$B$10000)*1,("-"=[1]OUT_TransportEnergyCons!$C$4:$C$10000)*1,ISNUMBER(SEARCH("T_C*hy*dsl*s4",[1]OUT_TransportEnergyCons!$A$4:$A$10000))*1,[1]OUT_TransportEnergyCons!G$4:G$10000)</f>
        <v>1.397724455708427E-4</v>
      </c>
      <c r="J2145" s="1" cm="1">
        <f t="array" ref="J2145">SUMPRODUCT(("var_ncap"=[1]OUT_TransportEnergyCons!$B$4:$B$10000)*1,("-"=[1]OUT_TransportEnergyCons!$C$4:$C$10000)*1,ISNUMBER(SEARCH("T_C*hy*dsl*s4",[1]OUT_TransportEnergyCons!$A$4:$A$10000))*1,[1]OUT_TransportEnergyCons!H$4:H$10000)</f>
        <v>1.620260974572733E-5</v>
      </c>
      <c r="K2145" s="1" cm="1">
        <f t="array" ref="K2145">SUMPRODUCT(("var_ncap"=[1]OUT_TransportEnergyCons!$B$4:$B$10000)*1,("-"=[1]OUT_TransportEnergyCons!$C$4:$C$10000)*1,ISNUMBER(SEARCH("T_C*hy*dsl*s4",[1]OUT_TransportEnergyCons!$A$4:$A$10000))*1,[1]OUT_TransportEnergyCons!I$4:I$10000)</f>
        <v>0</v>
      </c>
    </row>
    <row r="2146" spans="2:11" x14ac:dyDescent="0.35">
      <c r="B2146" s="5" t="str">
        <f t="shared" si="1307"/>
        <v>SPS3</v>
      </c>
      <c r="C2146" s="5" t="str">
        <f t="shared" si="1308"/>
        <v>CH</v>
      </c>
      <c r="D2146" t="s">
        <v>2297</v>
      </c>
      <c r="E2146" t="str">
        <f t="shared" si="1309"/>
        <v>Million</v>
      </c>
      <c r="F2146" s="1" cm="1">
        <f t="array" ref="F2146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SUMPRODUCT(("var_ncap"=[1]OUT_TransportEnergyCons!$B$4:$B$10000)*1,("-"=[1]OUT_TransportEnergyCons!$C$4:$C$10000)*1,ISNUMBER(SEARCH("T_C*ICE*dsl*ext",[1]OUT_TransportEnergyCons!$A$4:$A$10000))*1,[1]OUT_TransportEnergyCons!I$4:I$10000)</f>
        <v>0</v>
      </c>
    </row>
    <row r="2147" spans="2:11" x14ac:dyDescent="0.35">
      <c r="B2147" s="5" t="str">
        <f t="shared" si="1307"/>
        <v>SPS3</v>
      </c>
      <c r="C2147" s="5" t="str">
        <f t="shared" si="1308"/>
        <v>CH</v>
      </c>
      <c r="D2147" t="s">
        <v>2298</v>
      </c>
      <c r="E2147" t="str">
        <f t="shared" si="1309"/>
        <v>Million</v>
      </c>
      <c r="F2147" s="1" cm="1">
        <f t="array" ref="F2147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SUMPRODUCT(("var_ncap"=[1]OUT_TransportEnergyCons!$B$4:$B$10000)*1,("-"=[1]OUT_TransportEnergyCons!$C$4:$C$10000)*1,ISNUMBER(SEARCH("T_C*ICE*dsl*s1",[1]OUT_TransportEnergyCons!$A$4:$A$10000))*1,[1]OUT_TransportEnergyCons!E$4:E$10000)</f>
        <v>1.3900597578129701E-4</v>
      </c>
      <c r="H2147" s="1" cm="1">
        <f t="array" ref="H2147">SUMPRODUCT(("var_ncap"=[1]OUT_TransportEnergyCons!$B$4:$B$10000)*1,("-"=[1]OUT_TransportEnergyCons!$C$4:$C$10000)*1,ISNUMBER(SEARCH("T_C*ICE*dsl*s1",[1]OUT_TransportEnergyCons!$A$4:$A$10000))*1,[1]OUT_TransportEnergyCons!F$4:F$10000)</f>
        <v>1.78188776817906E-4</v>
      </c>
      <c r="I2147" s="1" cm="1">
        <f t="array" ref="I2147">SUMPRODUCT(("var_ncap"=[1]OUT_TransportEnergyCons!$B$4:$B$10000)*1,("-"=[1]OUT_TransportEnergyCons!$C$4:$C$10000)*1,ISNUMBER(SEARCH("T_C*ICE*dsl*s1",[1]OUT_TransportEnergyCons!$A$4:$A$10000))*1,[1]OUT_TransportEnergyCons!G$4:G$10000)</f>
        <v>9.9832949137127795E-5</v>
      </c>
      <c r="J2147" s="1" cm="1">
        <f t="array" ref="J2147">SUMPRODUCT(("var_ncap"=[1]OUT_TransportEnergyCons!$B$4:$B$10000)*1,("-"=[1]OUT_TransportEnergyCons!$C$4:$C$10000)*1,ISNUMBER(SEARCH("T_C*ICE*dsl*s1",[1]OUT_TransportEnergyCons!$A$4:$A$10000))*1,[1]OUT_TransportEnergyCons!H$4:H$10000)</f>
        <v>0</v>
      </c>
      <c r="K2147" s="1" cm="1">
        <f t="array" ref="K2147">SUMPRODUCT(("var_ncap"=[1]OUT_TransportEnergyCons!$B$4:$B$10000)*1,("-"=[1]OUT_TransportEnergyCons!$C$4:$C$10000)*1,ISNUMBER(SEARCH("T_C*ICE*dsl*s1",[1]OUT_TransportEnergyCons!$A$4:$A$10000))*1,[1]OUT_TransportEnergyCons!I$4:I$10000)</f>
        <v>0</v>
      </c>
    </row>
    <row r="2148" spans="2:11" x14ac:dyDescent="0.35">
      <c r="B2148" s="5" t="str">
        <f t="shared" si="1307"/>
        <v>SPS3</v>
      </c>
      <c r="C2148" s="5" t="str">
        <f t="shared" si="1308"/>
        <v>CH</v>
      </c>
      <c r="D2148" t="s">
        <v>2299</v>
      </c>
      <c r="E2148" t="str">
        <f t="shared" si="1309"/>
        <v>Million</v>
      </c>
      <c r="F2148" s="1" cm="1">
        <f t="array" ref="F2148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SUMPRODUCT(("var_ncap"=[1]OUT_TransportEnergyCons!$B$4:$B$10000)*1,("-"=[1]OUT_TransportEnergyCons!$C$4:$C$10000)*1,ISNUMBER(SEARCH("T_C*ICE*dsl*s2",[1]OUT_TransportEnergyCons!$A$4:$A$10000))*1,[1]OUT_TransportEnergyCons!E$4:E$10000)</f>
        <v>6.2097003904328994E-5</v>
      </c>
      <c r="H2148" s="1" cm="1">
        <f t="array" ref="H2148">SUMPRODUCT(("var_ncap"=[1]OUT_TransportEnergyCons!$B$4:$B$10000)*1,("-"=[1]OUT_TransportEnergyCons!$C$4:$C$10000)*1,ISNUMBER(SEARCH("T_C*ICE*dsl*s2",[1]OUT_TransportEnergyCons!$A$4:$A$10000))*1,[1]OUT_TransportEnergyCons!F$4:F$10000)</f>
        <v>9.1911592862138907E-5</v>
      </c>
      <c r="I2148" s="1" cm="1">
        <f t="array" ref="I2148">SUMPRODUCT(("var_ncap"=[1]OUT_TransportEnergyCons!$B$4:$B$10000)*1,("-"=[1]OUT_TransportEnergyCons!$C$4:$C$10000)*1,ISNUMBER(SEARCH("T_C*ICE*dsl*s2",[1]OUT_TransportEnergyCons!$A$4:$A$10000))*1,[1]OUT_TransportEnergyCons!G$4:G$10000)</f>
        <v>6.1240601534749803E-5</v>
      </c>
      <c r="J2148" s="1" cm="1">
        <f t="array" ref="J2148">SUMPRODUCT(("var_ncap"=[1]OUT_TransportEnergyCons!$B$4:$B$10000)*1,("-"=[1]OUT_TransportEnergyCons!$C$4:$C$10000)*1,ISNUMBER(SEARCH("T_C*ICE*dsl*s2",[1]OUT_TransportEnergyCons!$A$4:$A$10000))*1,[1]OUT_TransportEnergyCons!H$4:H$10000)</f>
        <v>0</v>
      </c>
      <c r="K2148" s="1" cm="1">
        <f t="array" ref="K2148">SUMPRODUCT(("var_ncap"=[1]OUT_TransportEnergyCons!$B$4:$B$10000)*1,("-"=[1]OUT_TransportEnergyCons!$C$4:$C$10000)*1,ISNUMBER(SEARCH("T_C*ICE*dsl*s2",[1]OUT_TransportEnergyCons!$A$4:$A$10000))*1,[1]OUT_TransportEnergyCons!I$4:I$10000)</f>
        <v>0</v>
      </c>
    </row>
    <row r="2149" spans="2:11" x14ac:dyDescent="0.35">
      <c r="B2149" s="5" t="str">
        <f t="shared" si="1307"/>
        <v>SPS3</v>
      </c>
      <c r="C2149" s="5" t="str">
        <f t="shared" si="1308"/>
        <v>CH</v>
      </c>
      <c r="D2149" t="s">
        <v>2300</v>
      </c>
      <c r="E2149" t="str">
        <f t="shared" si="1309"/>
        <v>Million</v>
      </c>
      <c r="F2149" s="1" cm="1">
        <f t="array" ref="F2149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SUMPRODUCT(("var_ncap"=[1]OUT_TransportEnergyCons!$B$4:$B$10000)*1,("-"=[1]OUT_TransportEnergyCons!$C$4:$C$10000)*1,ISNUMBER(SEARCH("T_C*ICE*dsl*s3",[1]OUT_TransportEnergyCons!$A$4:$A$10000))*1,[1]OUT_TransportEnergyCons!E$4:E$10000)</f>
        <v>7.2920685131465002E-5</v>
      </c>
      <c r="H2149" s="1" cm="1">
        <f t="array" ref="H2149">SUMPRODUCT(("var_ncap"=[1]OUT_TransportEnergyCons!$B$4:$B$10000)*1,("-"=[1]OUT_TransportEnergyCons!$C$4:$C$10000)*1,ISNUMBER(SEARCH("T_C*ICE*dsl*s3",[1]OUT_TransportEnergyCons!$A$4:$A$10000))*1,[1]OUT_TransportEnergyCons!F$4:F$10000)</f>
        <v>7.7241770749490504E-5</v>
      </c>
      <c r="I2149" s="1" cm="1">
        <f t="array" ref="I2149">SUMPRODUCT(("var_ncap"=[1]OUT_TransportEnergyCons!$B$4:$B$10000)*1,("-"=[1]OUT_TransportEnergyCons!$C$4:$C$10000)*1,ISNUMBER(SEARCH("T_C*ICE*dsl*s3",[1]OUT_TransportEnergyCons!$A$4:$A$10000))*1,[1]OUT_TransportEnergyCons!G$4:G$10000)</f>
        <v>5.3804094739434798E-5</v>
      </c>
      <c r="J2149" s="1" cm="1">
        <f t="array" ref="J2149">SUMPRODUCT(("var_ncap"=[1]OUT_TransportEnergyCons!$B$4:$B$10000)*1,("-"=[1]OUT_TransportEnergyCons!$C$4:$C$10000)*1,ISNUMBER(SEARCH("T_C*ICE*dsl*s3",[1]OUT_TransportEnergyCons!$A$4:$A$10000))*1,[1]OUT_TransportEnergyCons!H$4:H$10000)</f>
        <v>0</v>
      </c>
      <c r="K2149" s="1" cm="1">
        <f t="array" ref="K2149">SUMPRODUCT(("var_ncap"=[1]OUT_TransportEnergyCons!$B$4:$B$10000)*1,("-"=[1]OUT_TransportEnergyCons!$C$4:$C$10000)*1,ISNUMBER(SEARCH("T_C*ICE*dsl*s3",[1]OUT_TransportEnergyCons!$A$4:$A$10000))*1,[1]OUT_TransportEnergyCons!I$4:I$10000)</f>
        <v>0</v>
      </c>
    </row>
    <row r="2150" spans="2:11" x14ac:dyDescent="0.35">
      <c r="B2150" s="5" t="str">
        <f t="shared" si="1307"/>
        <v>SPS3</v>
      </c>
      <c r="C2150" s="5" t="str">
        <f t="shared" si="1308"/>
        <v>CH</v>
      </c>
      <c r="D2150" t="s">
        <v>2301</v>
      </c>
      <c r="E2150" t="str">
        <f t="shared" si="1309"/>
        <v>Million</v>
      </c>
      <c r="F2150" s="1" cm="1">
        <f t="array" ref="F2150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SUMPRODUCT(("var_ncap"=[1]OUT_TransportEnergyCons!$B$4:$B$10000)*1,("-"=[1]OUT_TransportEnergyCons!$C$4:$C$10000)*1,ISNUMBER(SEARCH("T_C*ICE*dsl*s4",[1]OUT_TransportEnergyCons!$A$4:$A$10000))*1,[1]OUT_TransportEnergyCons!E$4:E$10000)</f>
        <v>2.59015372333843E-5</v>
      </c>
      <c r="H2150" s="1" cm="1">
        <f t="array" ref="H2150">SUMPRODUCT(("var_ncap"=[1]OUT_TransportEnergyCons!$B$4:$B$10000)*1,("-"=[1]OUT_TransportEnergyCons!$C$4:$C$10000)*1,ISNUMBER(SEARCH("T_C*ICE*dsl*s4",[1]OUT_TransportEnergyCons!$A$4:$A$10000))*1,[1]OUT_TransportEnergyCons!F$4:F$10000)</f>
        <v>3.5336406269639602E-5</v>
      </c>
      <c r="I2150" s="1" cm="1">
        <f t="array" ref="I2150">SUMPRODUCT(("var_ncap"=[1]OUT_TransportEnergyCons!$B$4:$B$10000)*1,("-"=[1]OUT_TransportEnergyCons!$C$4:$C$10000)*1,ISNUMBER(SEARCH("T_C*ICE*dsl*s4",[1]OUT_TransportEnergyCons!$A$4:$A$10000))*1,[1]OUT_TransportEnergyCons!G$4:G$10000)</f>
        <v>3.2188378172734099E-5</v>
      </c>
      <c r="J2150" s="1" cm="1">
        <f t="array" ref="J2150">SUMPRODUCT(("var_ncap"=[1]OUT_TransportEnergyCons!$B$4:$B$10000)*1,("-"=[1]OUT_TransportEnergyCons!$C$4:$C$10000)*1,ISNUMBER(SEARCH("T_C*ICE*dsl*s4",[1]OUT_TransportEnergyCons!$A$4:$A$10000))*1,[1]OUT_TransportEnergyCons!H$4:H$10000)</f>
        <v>0</v>
      </c>
      <c r="K2150" s="1" cm="1">
        <f t="array" ref="K2150">SUMPRODUCT(("var_ncap"=[1]OUT_TransportEnergyCons!$B$4:$B$10000)*1,("-"=[1]OUT_TransportEnergyCons!$C$4:$C$10000)*1,ISNUMBER(SEARCH("T_C*ICE*dsl*s4",[1]OUT_TransportEnergyCons!$A$4:$A$10000))*1,[1]OUT_TransportEnergyCons!I$4:I$10000)</f>
        <v>0</v>
      </c>
    </row>
    <row r="2151" spans="2:11" x14ac:dyDescent="0.35">
      <c r="B2151" s="5" t="str">
        <f t="shared" si="1307"/>
        <v>SPS3</v>
      </c>
      <c r="C2151" s="5" t="str">
        <f t="shared" si="1308"/>
        <v>CH</v>
      </c>
      <c r="D2151" t="s">
        <v>2302</v>
      </c>
      <c r="E2151" t="str">
        <f t="shared" si="1309"/>
        <v>Million</v>
      </c>
      <c r="F2151" s="1" cm="1">
        <f t="array" ref="F2151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SUMPRODUCT(("var_ncap"=[1]OUT_TransportEnergyCons!$B$4:$B$10000)*1,("-"=[1]OUT_TransportEnergyCons!$C$4:$C$10000)*1,ISNUMBER(SEARCH("T_C*mhy*dsl*s1",[1]OUT_TransportEnergyCons!$A$4:$A$10000))*1,[1]OUT_TransportEnergyCons!E$4:E$10000)</f>
        <v>7.3589024651437294E-5</v>
      </c>
      <c r="H2151" s="1" cm="1">
        <f t="array" ref="H2151">SUMPRODUCT(("var_ncap"=[1]OUT_TransportEnergyCons!$B$4:$B$10000)*1,("-"=[1]OUT_TransportEnergyCons!$C$4:$C$10000)*1,ISNUMBER(SEARCH("T_C*mhy*dsl*s1",[1]OUT_TransportEnergyCons!$A$4:$A$10000))*1,[1]OUT_TransportEnergyCons!F$4:F$10000)</f>
        <v>1.4415073227567999E-4</v>
      </c>
      <c r="I2151" s="1" cm="1">
        <f t="array" ref="I2151">SUMPRODUCT(("var_ncap"=[1]OUT_TransportEnergyCons!$B$4:$B$10000)*1,("-"=[1]OUT_TransportEnergyCons!$C$4:$C$10000)*1,ISNUMBER(SEARCH("T_C*mhy*dsl*s1",[1]OUT_TransportEnergyCons!$A$4:$A$10000))*1,[1]OUT_TransportEnergyCons!G$4:G$10000)</f>
        <v>1.4357010927078899E-4</v>
      </c>
      <c r="J2151" s="1" cm="1">
        <f t="array" ref="J2151">SUMPRODUCT(("var_ncap"=[1]OUT_TransportEnergyCons!$B$4:$B$10000)*1,("-"=[1]OUT_TransportEnergyCons!$C$4:$C$10000)*1,ISNUMBER(SEARCH("T_C*mhy*dsl*s1",[1]OUT_TransportEnergyCons!$A$4:$A$10000))*1,[1]OUT_TransportEnergyCons!H$4:H$10000)</f>
        <v>1.12785537237652E-5</v>
      </c>
      <c r="K2151" s="1" cm="1">
        <f t="array" ref="K2151">SUMPRODUCT(("var_ncap"=[1]OUT_TransportEnergyCons!$B$4:$B$10000)*1,("-"=[1]OUT_TransportEnergyCons!$C$4:$C$10000)*1,ISNUMBER(SEARCH("T_C*mhy*dsl*s1",[1]OUT_TransportEnergyCons!$A$4:$A$10000))*1,[1]OUT_TransportEnergyCons!I$4:I$10000)</f>
        <v>0</v>
      </c>
    </row>
    <row r="2152" spans="2:11" x14ac:dyDescent="0.35">
      <c r="B2152" s="5" t="str">
        <f t="shared" si="1307"/>
        <v>SPS3</v>
      </c>
      <c r="C2152" s="5" t="str">
        <f t="shared" si="1308"/>
        <v>CH</v>
      </c>
      <c r="D2152" t="s">
        <v>2303</v>
      </c>
      <c r="E2152" t="str">
        <f t="shared" si="1309"/>
        <v>Million</v>
      </c>
      <c r="F2152" s="1" cm="1">
        <f t="array" ref="F2152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SUMPRODUCT(("var_ncap"=[1]OUT_TransportEnergyCons!$B$4:$B$10000)*1,("-"=[1]OUT_TransportEnergyCons!$C$4:$C$10000)*1,ISNUMBER(SEARCH("T_C*mhy*dsl*s2",[1]OUT_TransportEnergyCons!$A$4:$A$10000))*1,[1]OUT_TransportEnergyCons!E$4:E$10000)</f>
        <v>3.1784288849067202E-5</v>
      </c>
      <c r="H2152" s="1" cm="1">
        <f t="array" ref="H2152">SUMPRODUCT(("var_ncap"=[1]OUT_TransportEnergyCons!$B$4:$B$10000)*1,("-"=[1]OUT_TransportEnergyCons!$C$4:$C$10000)*1,ISNUMBER(SEARCH("T_C*mhy*dsl*s2",[1]OUT_TransportEnergyCons!$A$4:$A$10000))*1,[1]OUT_TransportEnergyCons!F$4:F$10000)</f>
        <v>6.9692409416288804E-5</v>
      </c>
      <c r="I2152" s="1" cm="1">
        <f t="array" ref="I2152">SUMPRODUCT(("var_ncap"=[1]OUT_TransportEnergyCons!$B$4:$B$10000)*1,("-"=[1]OUT_TransportEnergyCons!$C$4:$C$10000)*1,ISNUMBER(SEARCH("T_C*mhy*dsl*s2",[1]OUT_TransportEnergyCons!$A$4:$A$10000))*1,[1]OUT_TransportEnergyCons!G$4:G$10000)</f>
        <v>8.8663482072848506E-5</v>
      </c>
      <c r="J2152" s="1" cm="1">
        <f t="array" ref="J2152">SUMPRODUCT(("var_ncap"=[1]OUT_TransportEnergyCons!$B$4:$B$10000)*1,("-"=[1]OUT_TransportEnergyCons!$C$4:$C$10000)*1,ISNUMBER(SEARCH("T_C*mhy*dsl*s2",[1]OUT_TransportEnergyCons!$A$4:$A$10000))*1,[1]OUT_TransportEnergyCons!H$4:H$10000)</f>
        <v>4.5701791807755596E-6</v>
      </c>
      <c r="K2152" s="1" cm="1">
        <f t="array" ref="K2152">SUMPRODUCT(("var_ncap"=[1]OUT_TransportEnergyCons!$B$4:$B$10000)*1,("-"=[1]OUT_TransportEnergyCons!$C$4:$C$10000)*1,ISNUMBER(SEARCH("T_C*mhy*dsl*s2",[1]OUT_TransportEnergyCons!$A$4:$A$10000))*1,[1]OUT_TransportEnergyCons!I$4:I$10000)</f>
        <v>0</v>
      </c>
    </row>
    <row r="2153" spans="2:11" x14ac:dyDescent="0.35">
      <c r="B2153" s="5" t="str">
        <f t="shared" si="1307"/>
        <v>SPS3</v>
      </c>
      <c r="C2153" s="5" t="str">
        <f t="shared" si="1308"/>
        <v>CH</v>
      </c>
      <c r="D2153" t="s">
        <v>2304</v>
      </c>
      <c r="E2153" t="str">
        <f t="shared" si="1309"/>
        <v>Million</v>
      </c>
      <c r="F2153" s="1" cm="1">
        <f t="array" ref="F2153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SUMPRODUCT(("var_ncap"=[1]OUT_TransportEnergyCons!$B$4:$B$10000)*1,("-"=[1]OUT_TransportEnergyCons!$C$4:$C$10000)*1,ISNUMBER(SEARCH("T_C*mhy*dsl*s3",[1]OUT_TransportEnergyCons!$A$4:$A$10000))*1,[1]OUT_TransportEnergyCons!E$4:E$10000)</f>
        <v>3.7964099333625402E-5</v>
      </c>
      <c r="H2153" s="1" cm="1">
        <f t="array" ref="H2153">SUMPRODUCT(("var_ncap"=[1]OUT_TransportEnergyCons!$B$4:$B$10000)*1,("-"=[1]OUT_TransportEnergyCons!$C$4:$C$10000)*1,ISNUMBER(SEARCH("T_C*mhy*dsl*s3",[1]OUT_TransportEnergyCons!$A$4:$A$10000))*1,[1]OUT_TransportEnergyCons!F$4:F$10000)</f>
        <v>6.7722445362314898E-5</v>
      </c>
      <c r="I2153" s="1" cm="1">
        <f t="array" ref="I2153">SUMPRODUCT(("var_ncap"=[1]OUT_TransportEnergyCons!$B$4:$B$10000)*1,("-"=[1]OUT_TransportEnergyCons!$C$4:$C$10000)*1,ISNUMBER(SEARCH("T_C*mhy*dsl*s3",[1]OUT_TransportEnergyCons!$A$4:$A$10000))*1,[1]OUT_TransportEnergyCons!G$4:G$10000)</f>
        <v>8.2887777588051695E-5</v>
      </c>
      <c r="J2153" s="1" cm="1">
        <f t="array" ref="J2153">SUMPRODUCT(("var_ncap"=[1]OUT_TransportEnergyCons!$B$4:$B$10000)*1,("-"=[1]OUT_TransportEnergyCons!$C$4:$C$10000)*1,ISNUMBER(SEARCH("T_C*mhy*dsl*s3",[1]OUT_TransportEnergyCons!$A$4:$A$10000))*1,[1]OUT_TransportEnergyCons!H$4:H$10000)</f>
        <v>3.4848943397267701E-6</v>
      </c>
      <c r="K2153" s="1" cm="1">
        <f t="array" ref="K2153">SUMPRODUCT(("var_ncap"=[1]OUT_TransportEnergyCons!$B$4:$B$10000)*1,("-"=[1]OUT_TransportEnergyCons!$C$4:$C$10000)*1,ISNUMBER(SEARCH("T_C*mhy*dsl*s3",[1]OUT_TransportEnergyCons!$A$4:$A$10000))*1,[1]OUT_TransportEnergyCons!I$4:I$10000)</f>
        <v>0</v>
      </c>
    </row>
    <row r="2154" spans="2:11" x14ac:dyDescent="0.35">
      <c r="B2154" s="5" t="str">
        <f t="shared" si="1307"/>
        <v>SPS3</v>
      </c>
      <c r="C2154" s="5" t="str">
        <f t="shared" si="1308"/>
        <v>CH</v>
      </c>
      <c r="D2154" t="s">
        <v>2305</v>
      </c>
      <c r="E2154" t="str">
        <f t="shared" si="1309"/>
        <v>Million</v>
      </c>
      <c r="F2154" s="1" cm="1">
        <f t="array" ref="F2154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SUMPRODUCT(("var_ncap"=[1]OUT_TransportEnergyCons!$B$4:$B$10000)*1,("-"=[1]OUT_TransportEnergyCons!$C$4:$C$10000)*1,ISNUMBER(SEARCH("T_C*mhy*dsl*s4",[1]OUT_TransportEnergyCons!$A$4:$A$10000))*1,[1]OUT_TransportEnergyCons!E$4:E$10000)</f>
        <v>2.7775529008976599E-5</v>
      </c>
      <c r="H2154" s="1" cm="1">
        <f t="array" ref="H2154">SUMPRODUCT(("var_ncap"=[1]OUT_TransportEnergyCons!$B$4:$B$10000)*1,("-"=[1]OUT_TransportEnergyCons!$C$4:$C$10000)*1,ISNUMBER(SEARCH("T_C*mhy*dsl*s4",[1]OUT_TransportEnergyCons!$A$4:$A$10000))*1,[1]OUT_TransportEnergyCons!F$4:F$10000)</f>
        <v>3.9534313827126603E-5</v>
      </c>
      <c r="I2154" s="1" cm="1">
        <f t="array" ref="I2154">SUMPRODUCT(("var_ncap"=[1]OUT_TransportEnergyCons!$B$4:$B$10000)*1,("-"=[1]OUT_TransportEnergyCons!$C$4:$C$10000)*1,ISNUMBER(SEARCH("T_C*mhy*dsl*s4",[1]OUT_TransportEnergyCons!$A$4:$A$10000))*1,[1]OUT_TransportEnergyCons!G$4:G$10000)</f>
        <v>3.9905194190216003E-5</v>
      </c>
      <c r="J2154" s="1" cm="1">
        <f t="array" ref="J2154">SUMPRODUCT(("var_ncap"=[1]OUT_TransportEnergyCons!$B$4:$B$10000)*1,("-"=[1]OUT_TransportEnergyCons!$C$4:$C$10000)*1,ISNUMBER(SEARCH("T_C*mhy*dsl*s4",[1]OUT_TransportEnergyCons!$A$4:$A$10000))*1,[1]OUT_TransportEnergyCons!H$4:H$10000)</f>
        <v>3.7578404695767299E-6</v>
      </c>
      <c r="K2154" s="1" cm="1">
        <f t="array" ref="K2154">SUMPRODUCT(("var_ncap"=[1]OUT_TransportEnergyCons!$B$4:$B$10000)*1,("-"=[1]OUT_TransportEnergyCons!$C$4:$C$10000)*1,ISNUMBER(SEARCH("T_C*mhy*dsl*s4",[1]OUT_TransportEnergyCons!$A$4:$A$10000))*1,[1]OUT_TransportEnergyCons!I$4:I$10000)</f>
        <v>0</v>
      </c>
    </row>
    <row r="2155" spans="2:11" x14ac:dyDescent="0.35">
      <c r="B2155" s="5" t="str">
        <f t="shared" si="1307"/>
        <v>SPS3</v>
      </c>
      <c r="C2155" s="5" t="str">
        <f t="shared" si="1308"/>
        <v>CH</v>
      </c>
      <c r="D2155" t="s">
        <v>2306</v>
      </c>
      <c r="E2155" t="str">
        <f t="shared" si="1309"/>
        <v>Million</v>
      </c>
      <c r="F2155" s="1" cm="1">
        <f t="array" ref="F2155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55" s="1" cm="1">
        <f t="array" ref="H2155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55" s="1" cm="1">
        <f t="array" ref="I2155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55" s="1" cm="1">
        <f t="array" ref="J2155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55" s="1" cm="1">
        <f t="array" ref="K2155">SUMPRODUCT(("var_ncap"=[1]OUT_TransportEnergyCons!$B$4:$B$10000)*1,("-"=[1]OUT_TransportEnergyCons!$C$4:$C$10000)*1,ISNUMBER(SEARCH("T_C*ICE*nga*ext",[1]OUT_TransportEnergyCons!$A$4:$A$10000))*1,[1]OUT_TransportEnergyCons!I$4:I$10000)</f>
        <v>0</v>
      </c>
    </row>
    <row r="2156" spans="2:11" x14ac:dyDescent="0.35">
      <c r="B2156" s="5" t="str">
        <f t="shared" si="1307"/>
        <v>SPS3</v>
      </c>
      <c r="C2156" s="5" t="str">
        <f t="shared" si="1308"/>
        <v>CH</v>
      </c>
      <c r="D2156" t="s">
        <v>2307</v>
      </c>
      <c r="E2156" t="str">
        <f t="shared" si="1309"/>
        <v>Million</v>
      </c>
      <c r="F2156" s="1" cm="1">
        <f t="array" ref="F2156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SUMPRODUCT(("var_ncap"=[1]OUT_TransportEnergyCons!$B$4:$B$10000)*1,("-"=[1]OUT_TransportEnergyCons!$C$4:$C$10000)*1,ISNUMBER(SEARCH("T_C*ICE*nga*s1",[1]OUT_TransportEnergyCons!$A$4:$A$10000))*1,[1]OUT_TransportEnergyCons!E$4:E$10000)</f>
        <v>5.9364156059091198E-6</v>
      </c>
      <c r="H2156" s="1" cm="1">
        <f t="array" ref="H2156">SUMPRODUCT(("var_ncap"=[1]OUT_TransportEnergyCons!$B$4:$B$10000)*1,("-"=[1]OUT_TransportEnergyCons!$C$4:$C$10000)*1,ISNUMBER(SEARCH("T_C*ICE*nga*s1",[1]OUT_TransportEnergyCons!$A$4:$A$10000))*1,[1]OUT_TransportEnergyCons!F$4:F$10000)</f>
        <v>7.59889132095005E-6</v>
      </c>
      <c r="I2156" s="1" cm="1">
        <f t="array" ref="I2156">SUMPRODUCT(("var_ncap"=[1]OUT_TransportEnergyCons!$B$4:$B$10000)*1,("-"=[1]OUT_TransportEnergyCons!$C$4:$C$10000)*1,ISNUMBER(SEARCH("T_C*ICE*nga*s1",[1]OUT_TransportEnergyCons!$A$4:$A$10000))*1,[1]OUT_TransportEnergyCons!G$4:G$10000)</f>
        <v>6.6687338468742697E-6</v>
      </c>
      <c r="J2156" s="1" cm="1">
        <f t="array" ref="J2156">SUMPRODUCT(("var_ncap"=[1]OUT_TransportEnergyCons!$B$4:$B$10000)*1,("-"=[1]OUT_TransportEnergyCons!$C$4:$C$10000)*1,ISNUMBER(SEARCH("T_C*ICE*nga*s1",[1]OUT_TransportEnergyCons!$A$4:$A$10000))*1,[1]OUT_TransportEnergyCons!H$4:H$10000)</f>
        <v>0</v>
      </c>
      <c r="K2156" s="1" cm="1">
        <f t="array" ref="K2156">SUMPRODUCT(("var_ncap"=[1]OUT_TransportEnergyCons!$B$4:$B$10000)*1,("-"=[1]OUT_TransportEnergyCons!$C$4:$C$10000)*1,ISNUMBER(SEARCH("T_C*ICE*nga*s1",[1]OUT_TransportEnergyCons!$A$4:$A$10000))*1,[1]OUT_TransportEnergyCons!I$4:I$10000)</f>
        <v>0</v>
      </c>
    </row>
    <row r="2157" spans="2:11" x14ac:dyDescent="0.35">
      <c r="B2157" s="5" t="str">
        <f t="shared" si="1307"/>
        <v>SPS3</v>
      </c>
      <c r="C2157" s="5" t="str">
        <f t="shared" si="1308"/>
        <v>CH</v>
      </c>
      <c r="D2157" t="s">
        <v>2308</v>
      </c>
      <c r="E2157" t="str">
        <f t="shared" si="1309"/>
        <v>Million</v>
      </c>
      <c r="F2157" s="1" cm="1">
        <f t="array" ref="F2157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SUMPRODUCT(("var_ncap"=[1]OUT_TransportEnergyCons!$B$4:$B$10000)*1,("-"=[1]OUT_TransportEnergyCons!$C$4:$C$10000)*1,ISNUMBER(SEARCH("T_C*ICE*nga*s2",[1]OUT_TransportEnergyCons!$A$4:$A$10000))*1,[1]OUT_TransportEnergyCons!E$4:E$10000)</f>
        <v>3.5993031323401798E-6</v>
      </c>
      <c r="H2157" s="1" cm="1">
        <f t="array" ref="H2157">SUMPRODUCT(("var_ncap"=[1]OUT_TransportEnergyCons!$B$4:$B$10000)*1,("-"=[1]OUT_TransportEnergyCons!$C$4:$C$10000)*1,ISNUMBER(SEARCH("T_C*ICE*nga*s2",[1]OUT_TransportEnergyCons!$A$4:$A$10000))*1,[1]OUT_TransportEnergyCons!F$4:F$10000)</f>
        <v>6.77259470144056E-6</v>
      </c>
      <c r="I2157" s="1" cm="1">
        <f t="array" ref="I2157">SUMPRODUCT(("var_ncap"=[1]OUT_TransportEnergyCons!$B$4:$B$10000)*1,("-"=[1]OUT_TransportEnergyCons!$C$4:$C$10000)*1,ISNUMBER(SEARCH("T_C*ICE*nga*s2",[1]OUT_TransportEnergyCons!$A$4:$A$10000))*1,[1]OUT_TransportEnergyCons!G$4:G$10000)</f>
        <v>6.9317121895371401E-6</v>
      </c>
      <c r="J2157" s="1" cm="1">
        <f t="array" ref="J2157">SUMPRODUCT(("var_ncap"=[1]OUT_TransportEnergyCons!$B$4:$B$10000)*1,("-"=[1]OUT_TransportEnergyCons!$C$4:$C$10000)*1,ISNUMBER(SEARCH("T_C*ICE*nga*s2",[1]OUT_TransportEnergyCons!$A$4:$A$10000))*1,[1]OUT_TransportEnergyCons!H$4:H$10000)</f>
        <v>0</v>
      </c>
      <c r="K2157" s="1" cm="1">
        <f t="array" ref="K2157">SUMPRODUCT(("var_ncap"=[1]OUT_TransportEnergyCons!$B$4:$B$10000)*1,("-"=[1]OUT_TransportEnergyCons!$C$4:$C$10000)*1,ISNUMBER(SEARCH("T_C*ICE*nga*s2",[1]OUT_TransportEnergyCons!$A$4:$A$10000))*1,[1]OUT_TransportEnergyCons!I$4:I$10000)</f>
        <v>0</v>
      </c>
    </row>
    <row r="2158" spans="2:11" x14ac:dyDescent="0.35">
      <c r="B2158" s="5" t="str">
        <f t="shared" si="1307"/>
        <v>SPS3</v>
      </c>
      <c r="C2158" s="5" t="str">
        <f t="shared" si="1308"/>
        <v>CH</v>
      </c>
      <c r="D2158" t="s">
        <v>2309</v>
      </c>
      <c r="E2158" t="str">
        <f t="shared" si="1309"/>
        <v>Million</v>
      </c>
      <c r="F2158" s="1" cm="1">
        <f t="array" ref="F2158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SUMPRODUCT(("var_ncap"=[1]OUT_TransportEnergyCons!$B$4:$B$10000)*1,("-"=[1]OUT_TransportEnergyCons!$C$4:$C$10000)*1,ISNUMBER(SEARCH("T_C*ICE*nga*s3",[1]OUT_TransportEnergyCons!$A$4:$A$10000))*1,[1]OUT_TransportEnergyCons!E$4:E$10000)</f>
        <v>4.2235422570453202E-6</v>
      </c>
      <c r="H2158" s="1" cm="1">
        <f t="array" ref="H2158">SUMPRODUCT(("var_ncap"=[1]OUT_TransportEnergyCons!$B$4:$B$10000)*1,("-"=[1]OUT_TransportEnergyCons!$C$4:$C$10000)*1,ISNUMBER(SEARCH("T_C*ICE*nga*s3",[1]OUT_TransportEnergyCons!$A$4:$A$10000))*1,[1]OUT_TransportEnergyCons!F$4:F$10000)</f>
        <v>7.6306728933744092E-6</v>
      </c>
      <c r="I2158" s="1" cm="1">
        <f t="array" ref="I2158">SUMPRODUCT(("var_ncap"=[1]OUT_TransportEnergyCons!$B$4:$B$10000)*1,("-"=[1]OUT_TransportEnergyCons!$C$4:$C$10000)*1,ISNUMBER(SEARCH("T_C*ICE*nga*s3",[1]OUT_TransportEnergyCons!$A$4:$A$10000))*1,[1]OUT_TransportEnergyCons!G$4:G$10000)</f>
        <v>8.3787333573963993E-6</v>
      </c>
      <c r="J2158" s="1" cm="1">
        <f t="array" ref="J2158">SUMPRODUCT(("var_ncap"=[1]OUT_TransportEnergyCons!$B$4:$B$10000)*1,("-"=[1]OUT_TransportEnergyCons!$C$4:$C$10000)*1,ISNUMBER(SEARCH("T_C*ICE*nga*s3",[1]OUT_TransportEnergyCons!$A$4:$A$10000))*1,[1]OUT_TransportEnergyCons!H$4:H$10000)</f>
        <v>0</v>
      </c>
      <c r="K2158" s="1" cm="1">
        <f t="array" ref="K2158">SUMPRODUCT(("var_ncap"=[1]OUT_TransportEnergyCons!$B$4:$B$10000)*1,("-"=[1]OUT_TransportEnergyCons!$C$4:$C$10000)*1,ISNUMBER(SEARCH("T_C*ICE*nga*s3",[1]OUT_TransportEnergyCons!$A$4:$A$10000))*1,[1]OUT_TransportEnergyCons!I$4:I$10000)</f>
        <v>0</v>
      </c>
    </row>
    <row r="2159" spans="2:11" x14ac:dyDescent="0.35">
      <c r="B2159" s="5" t="str">
        <f t="shared" si="1307"/>
        <v>SPS3</v>
      </c>
      <c r="C2159" s="5" t="str">
        <f t="shared" si="1308"/>
        <v>CH</v>
      </c>
      <c r="D2159" t="s">
        <v>2310</v>
      </c>
      <c r="E2159" t="str">
        <f t="shared" si="1309"/>
        <v>Million</v>
      </c>
      <c r="F2159" s="1" cm="1">
        <f t="array" ref="F2159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SUMPRODUCT(("var_ncap"=[1]OUT_TransportEnergyCons!$B$4:$B$10000)*1,("-"=[1]OUT_TransportEnergyCons!$C$4:$C$10000)*1,ISNUMBER(SEARCH("T_C*ICE*nga*s4",[1]OUT_TransportEnergyCons!$A$4:$A$10000))*1,[1]OUT_TransportEnergyCons!E$4:E$10000)</f>
        <v>4.4381601118667501E-6</v>
      </c>
      <c r="H2159" s="1" cm="1">
        <f t="array" ref="H2159">SUMPRODUCT(("var_ncap"=[1]OUT_TransportEnergyCons!$B$4:$B$10000)*1,("-"=[1]OUT_TransportEnergyCons!$C$4:$C$10000)*1,ISNUMBER(SEARCH("T_C*ICE*nga*s4",[1]OUT_TransportEnergyCons!$A$4:$A$10000))*1,[1]OUT_TransportEnergyCons!F$4:F$10000)</f>
        <v>8.0120970856515693E-6</v>
      </c>
      <c r="I2159" s="1" cm="1">
        <f t="array" ref="I2159">SUMPRODUCT(("var_ncap"=[1]OUT_TransportEnergyCons!$B$4:$B$10000)*1,("-"=[1]OUT_TransportEnergyCons!$C$4:$C$10000)*1,ISNUMBER(SEARCH("T_C*ICE*nga*s4",[1]OUT_TransportEnergyCons!$A$4:$A$10000))*1,[1]OUT_TransportEnergyCons!G$4:G$10000)</f>
        <v>9.1744731178163295E-6</v>
      </c>
      <c r="J2159" s="1" cm="1">
        <f t="array" ref="J2159">SUMPRODUCT(("var_ncap"=[1]OUT_TransportEnergyCons!$B$4:$B$10000)*1,("-"=[1]OUT_TransportEnergyCons!$C$4:$C$10000)*1,ISNUMBER(SEARCH("T_C*ICE*nga*s4",[1]OUT_TransportEnergyCons!$A$4:$A$10000))*1,[1]OUT_TransportEnergyCons!H$4:H$10000)</f>
        <v>0</v>
      </c>
      <c r="K2159" s="1" cm="1">
        <f t="array" ref="K2159">SUMPRODUCT(("var_ncap"=[1]OUT_TransportEnergyCons!$B$4:$B$10000)*1,("-"=[1]OUT_TransportEnergyCons!$C$4:$C$10000)*1,ISNUMBER(SEARCH("T_C*ICE*nga*s4",[1]OUT_TransportEnergyCons!$A$4:$A$10000))*1,[1]OUT_TransportEnergyCons!I$4:I$10000)</f>
        <v>0</v>
      </c>
    </row>
    <row r="2160" spans="2:11" x14ac:dyDescent="0.35">
      <c r="B2160" s="5" t="str">
        <f t="shared" si="1307"/>
        <v>SPS3</v>
      </c>
      <c r="C2160" s="5" t="str">
        <f t="shared" si="1308"/>
        <v>CH</v>
      </c>
      <c r="D2160" s="2" t="s">
        <v>2184</v>
      </c>
      <c r="E2160" s="2" t="s">
        <v>2000</v>
      </c>
      <c r="F2160" s="3">
        <f t="shared" ref="F2160:K2160" si="1310">SUM(F2161:F2183)</f>
        <v>0</v>
      </c>
      <c r="G2160" s="3">
        <f t="shared" si="1310"/>
        <v>0.74137165726957543</v>
      </c>
      <c r="H2160" s="3">
        <f t="shared" si="1310"/>
        <v>1.5520752265365882</v>
      </c>
      <c r="I2160" s="3">
        <f t="shared" si="1310"/>
        <v>6.2137604058856839</v>
      </c>
      <c r="J2160" s="3">
        <f t="shared" si="1310"/>
        <v>2.7675599316757959</v>
      </c>
      <c r="K2160" s="3">
        <f t="shared" si="1310"/>
        <v>7.0071514670934345</v>
      </c>
    </row>
    <row r="2161" spans="2:11" x14ac:dyDescent="0.35">
      <c r="B2161" s="5" t="str">
        <f t="shared" si="1307"/>
        <v>SPS3</v>
      </c>
      <c r="C2161" s="5" t="str">
        <f t="shared" si="1308"/>
        <v>CH</v>
      </c>
      <c r="D2161" t="s">
        <v>2311</v>
      </c>
      <c r="E2161" t="s">
        <v>2000</v>
      </c>
      <c r="F2161" s="1" cm="1">
        <f t="array" ref="F2161">(SUMPRODUCT(("var_ncap"=[1]OUT_TransportEnergyCons!$B$4:$B$10000)*1,ISNUMBER(SEARCH("T_B_u*bev*ext",[1]OUT_TransportEnergyCons!$A$4:$A$10000))*1,[1]OUT_TransportEnergyCons!D$4:D$10000))*1000</f>
        <v>0</v>
      </c>
      <c r="G2161" s="1" cm="1">
        <f t="array" ref="G2161">(SUMPRODUCT(("var_ncap"=[1]OUT_TransportEnergyCons!$B$4:$B$10000)*1,ISNUMBER(SEARCH("T_B_u*bev*ext",[1]OUT_TransportEnergyCons!$A$4:$A$10000))*1,[1]OUT_TransportEnergyCons!E$4:E$10000))*1000</f>
        <v>0</v>
      </c>
      <c r="H2161" s="1" cm="1">
        <f t="array" ref="H2161">(SUMPRODUCT(("var_ncap"=[1]OUT_TransportEnergyCons!$B$4:$B$10000)*1,ISNUMBER(SEARCH("T_B_u*bev*ext",[1]OUT_TransportEnergyCons!$A$4:$A$10000))*1,[1]OUT_TransportEnergyCons!F$4:F$10000))*1000</f>
        <v>0</v>
      </c>
      <c r="I2161" s="1" cm="1">
        <f t="array" ref="I2161">(SUMPRODUCT(("var_ncap"=[1]OUT_TransportEnergyCons!$B$4:$B$10000)*1,ISNUMBER(SEARCH("T_B_u*bev*ext",[1]OUT_TransportEnergyCons!$A$4:$A$10000))*1,[1]OUT_TransportEnergyCons!G$4:G$10000))*1000</f>
        <v>0</v>
      </c>
      <c r="J2161" s="1" cm="1">
        <f t="array" ref="J2161">(SUMPRODUCT(("var_ncap"=[1]OUT_TransportEnergyCons!$B$4:$B$10000)*1,ISNUMBER(SEARCH("T_B_u*bev*ext",[1]OUT_TransportEnergyCons!$A$4:$A$10000))*1,[1]OUT_TransportEnergyCons!H$4:H$10000))*1000</f>
        <v>0</v>
      </c>
      <c r="K2161" s="1" cm="1">
        <f t="array" ref="K2161">(SUMPRODUCT(("var_ncap"=[1]OUT_TransportEnergyCons!$B$4:$B$10000)*1,ISNUMBER(SEARCH("T_B_u*bev*ext",[1]OUT_TransportEnergyCons!$A$4:$A$10000))*1,[1]OUT_TransportEnergyCons!I$4:I$10000))*1000</f>
        <v>0</v>
      </c>
    </row>
    <row r="2162" spans="2:11" x14ac:dyDescent="0.35">
      <c r="B2162" s="5" t="str">
        <f t="shared" si="1307"/>
        <v>SPS3</v>
      </c>
      <c r="C2162" s="5" t="str">
        <f t="shared" si="1308"/>
        <v>CH</v>
      </c>
      <c r="D2162" t="s">
        <v>2312</v>
      </c>
      <c r="E2162" t="s">
        <v>2000</v>
      </c>
      <c r="F2162" s="1" cm="1">
        <f t="array" ref="F2162">(SUMPRODUCT(("var_ncap"=[1]OUT_TransportEnergyCons!$B$4:$B$10000)*1,ISNUMBER(SEARCH("T_B_u*bev*s1",[1]OUT_TransportEnergyCons!$A$4:$A$10000))*1,[1]OUT_TransportEnergyCons!D$4:D$10000))*1000</f>
        <v>0</v>
      </c>
      <c r="G2162" s="1" cm="1">
        <f t="array" ref="G2162">(SUMPRODUCT(("var_ncap"=[1]OUT_TransportEnergyCons!$B$4:$B$10000)*1,ISNUMBER(SEARCH("T_B_u*bev*s1",[1]OUT_TransportEnergyCons!$A$4:$A$10000))*1,[1]OUT_TransportEnergyCons!E$4:E$10000))*1000</f>
        <v>8.8739361098007299E-3</v>
      </c>
      <c r="H2162" s="1" cm="1">
        <f t="array" ref="H2162">(SUMPRODUCT(("var_ncap"=[1]OUT_TransportEnergyCons!$B$4:$B$10000)*1,ISNUMBER(SEARCH("T_B_u*bev*s1",[1]OUT_TransportEnergyCons!$A$4:$A$10000))*1,[1]OUT_TransportEnergyCons!F$4:F$10000))*1000</f>
        <v>1.5903786733756101E-2</v>
      </c>
      <c r="I2162" s="1" cm="1">
        <f t="array" ref="I2162">(SUMPRODUCT(("var_ncap"=[1]OUT_TransportEnergyCons!$B$4:$B$10000)*1,ISNUMBER(SEARCH("T_B_u*bev*s1",[1]OUT_TransportEnergyCons!$A$4:$A$10000))*1,[1]OUT_TransportEnergyCons!G$4:G$10000))*1000</f>
        <v>2.5406452867755802</v>
      </c>
      <c r="J2162" s="1" cm="1">
        <f t="array" ref="J2162">(SUMPRODUCT(("var_ncap"=[1]OUT_TransportEnergyCons!$B$4:$B$10000)*1,ISNUMBER(SEARCH("T_B_u*bev*s1",[1]OUT_TransportEnergyCons!$A$4:$A$10000))*1,[1]OUT_TransportEnergyCons!H$4:H$10000))*1000</f>
        <v>0.19905834884089801</v>
      </c>
      <c r="K2162" s="1" cm="1">
        <f t="array" ref="K2162">(SUMPRODUCT(("var_ncap"=[1]OUT_TransportEnergyCons!$B$4:$B$10000)*1,ISNUMBER(SEARCH("T_B_u*bev*s1",[1]OUT_TransportEnergyCons!$A$4:$A$10000))*1,[1]OUT_TransportEnergyCons!I$4:I$10000))*1000</f>
        <v>2.4843236387325898</v>
      </c>
    </row>
    <row r="2163" spans="2:11" x14ac:dyDescent="0.35">
      <c r="B2163" s="5" t="str">
        <f t="shared" si="1307"/>
        <v>SPS3</v>
      </c>
      <c r="C2163" s="5" t="str">
        <f t="shared" si="1308"/>
        <v>CH</v>
      </c>
      <c r="D2163" t="s">
        <v>2313</v>
      </c>
      <c r="E2163" t="s">
        <v>2000</v>
      </c>
      <c r="F2163" s="1" cm="1">
        <f t="array" ref="F2163">(SUMPRODUCT(("var_ncap"=[1]OUT_TransportEnergyCons!$B$4:$B$10000)*1,ISNUMBER(SEARCH("T_B_u*bev*s2",[1]OUT_TransportEnergyCons!$A$4:$A$10000))*1,[1]OUT_TransportEnergyCons!D$4:D$10000))*1000</f>
        <v>0</v>
      </c>
      <c r="G2163" s="1" cm="1">
        <f t="array" ref="G2163">(SUMPRODUCT(("var_ncap"=[1]OUT_TransportEnergyCons!$B$4:$B$10000)*1,ISNUMBER(SEARCH("T_B_u*bev*s2",[1]OUT_TransportEnergyCons!$A$4:$A$10000))*1,[1]OUT_TransportEnergyCons!E$4:E$10000))*1000</f>
        <v>2.6468653721574598E-3</v>
      </c>
      <c r="H2163" s="1" cm="1">
        <f t="array" ref="H2163">(SUMPRODUCT(("var_ncap"=[1]OUT_TransportEnergyCons!$B$4:$B$10000)*1,ISNUMBER(SEARCH("T_B_u*bev*s2",[1]OUT_TransportEnergyCons!$A$4:$A$10000))*1,[1]OUT_TransportEnergyCons!F$4:F$10000))*1000</f>
        <v>1.12049356277028E-2</v>
      </c>
      <c r="I2163" s="1" cm="1">
        <f t="array" ref="I2163">(SUMPRODUCT(("var_ncap"=[1]OUT_TransportEnergyCons!$B$4:$B$10000)*1,ISNUMBER(SEARCH("T_B_u*bev*s2",[1]OUT_TransportEnergyCons!$A$4:$A$10000))*1,[1]OUT_TransportEnergyCons!G$4:G$10000))*1000</f>
        <v>0.72882634248994893</v>
      </c>
      <c r="J2163" s="1" cm="1">
        <f t="array" ref="J2163">(SUMPRODUCT(("var_ncap"=[1]OUT_TransportEnergyCons!$B$4:$B$10000)*1,ISNUMBER(SEARCH("T_B_u*bev*s2",[1]OUT_TransportEnergyCons!$A$4:$A$10000))*1,[1]OUT_TransportEnergyCons!H$4:H$10000))*1000</f>
        <v>0.107448460907934</v>
      </c>
      <c r="K2163" s="1" cm="1">
        <f t="array" ref="K2163">(SUMPRODUCT(("var_ncap"=[1]OUT_TransportEnergyCons!$B$4:$B$10000)*1,ISNUMBER(SEARCH("T_B_u*bev*s2",[1]OUT_TransportEnergyCons!$A$4:$A$10000))*1,[1]OUT_TransportEnergyCons!I$4:I$10000))*1000</f>
        <v>0.85171840510738106</v>
      </c>
    </row>
    <row r="2164" spans="2:11" x14ac:dyDescent="0.35">
      <c r="B2164" s="5" t="str">
        <f t="shared" si="1307"/>
        <v>SPS3</v>
      </c>
      <c r="C2164" s="5" t="str">
        <f t="shared" si="1308"/>
        <v>CH</v>
      </c>
      <c r="D2164" t="s">
        <v>2314</v>
      </c>
      <c r="E2164" t="s">
        <v>2000</v>
      </c>
      <c r="F2164" s="1" cm="1">
        <f t="array" ref="F2164">(SUMPRODUCT(("var_ncap"=[1]OUT_TransportEnergyCons!$B$4:$B$10000)*1,ISNUMBER(SEARCH("T_B_u*bev*s3",[1]OUT_TransportEnergyCons!$A$4:$A$10000))*1,[1]OUT_TransportEnergyCons!D$4:D$10000))*1000</f>
        <v>0</v>
      </c>
      <c r="G2164" s="1" cm="1">
        <f t="array" ref="G2164">(SUMPRODUCT(("var_ncap"=[1]OUT_TransportEnergyCons!$B$4:$B$10000)*1,ISNUMBER(SEARCH("T_B_u*bev*s3",[1]OUT_TransportEnergyCons!$A$4:$A$10000))*1,[1]OUT_TransportEnergyCons!E$4:E$10000))*1000</f>
        <v>1.67880650171874E-3</v>
      </c>
      <c r="H2164" s="1" cm="1">
        <f t="array" ref="H2164">(SUMPRODUCT(("var_ncap"=[1]OUT_TransportEnergyCons!$B$4:$B$10000)*1,ISNUMBER(SEARCH("T_B_u*bev*s3",[1]OUT_TransportEnergyCons!$A$4:$A$10000))*1,[1]OUT_TransportEnergyCons!F$4:F$10000))*1000</f>
        <v>7.4591075451352394E-3</v>
      </c>
      <c r="I2164" s="1" cm="1">
        <f t="array" ref="I2164">(SUMPRODUCT(("var_ncap"=[1]OUT_TransportEnergyCons!$B$4:$B$10000)*1,ISNUMBER(SEARCH("T_B_u*bev*s3",[1]OUT_TransportEnergyCons!$A$4:$A$10000))*1,[1]OUT_TransportEnergyCons!G$4:G$10000))*1000</f>
        <v>2.9399935793764302</v>
      </c>
      <c r="J2164" s="1" cm="1">
        <f t="array" ref="J2164">(SUMPRODUCT(("var_ncap"=[1]OUT_TransportEnergyCons!$B$4:$B$10000)*1,ISNUMBER(SEARCH("T_B_u*bev*s3",[1]OUT_TransportEnergyCons!$A$4:$A$10000))*1,[1]OUT_TransportEnergyCons!H$4:H$10000))*1000</f>
        <v>2.37747888690089</v>
      </c>
      <c r="K2164" s="1" cm="1">
        <f t="array" ref="K2164">(SUMPRODUCT(("var_ncap"=[1]OUT_TransportEnergyCons!$B$4:$B$10000)*1,ISNUMBER(SEARCH("T_B_u*bev*s3",[1]OUT_TransportEnergyCons!$A$4:$A$10000))*1,[1]OUT_TransportEnergyCons!I$4:I$10000))*1000</f>
        <v>2.9891950225589099</v>
      </c>
    </row>
    <row r="2165" spans="2:11" x14ac:dyDescent="0.35">
      <c r="B2165" s="5" t="str">
        <f t="shared" si="1307"/>
        <v>SPS3</v>
      </c>
      <c r="C2165" s="5" t="str">
        <f t="shared" si="1308"/>
        <v>CH</v>
      </c>
      <c r="D2165" t="s">
        <v>2315</v>
      </c>
      <c r="E2165" t="s">
        <v>2000</v>
      </c>
      <c r="F2165" s="1" cm="1">
        <f t="array" ref="F2165">(SUMPRODUCT(("var_ncap"=[1]OUT_TransportEnergyCons!$B$4:$B$10000)*1,ISNUMBER(SEARCH("T_B_u*bev*s4",[1]OUT_TransportEnergyCons!$A$4:$A$10000))*1,[1]OUT_TransportEnergyCons!D$4:D$10000))*1000</f>
        <v>0</v>
      </c>
      <c r="G2165" s="1" cm="1">
        <f t="array" ref="G2165">(SUMPRODUCT(("var_ncap"=[1]OUT_TransportEnergyCons!$B$4:$B$10000)*1,ISNUMBER(SEARCH("T_B_u*bev*s4",[1]OUT_TransportEnergyCons!$A$4:$A$10000))*1,[1]OUT_TransportEnergyCons!E$4:E$10000))*1000</f>
        <v>6.1746313265388609E-4</v>
      </c>
      <c r="H2165" s="1" cm="1">
        <f t="array" ref="H2165">(SUMPRODUCT(("var_ncap"=[1]OUT_TransportEnergyCons!$B$4:$B$10000)*1,ISNUMBER(SEARCH("T_B_u*bev*s4",[1]OUT_TransportEnergyCons!$A$4:$A$10000))*1,[1]OUT_TransportEnergyCons!F$4:F$10000))*1000</f>
        <v>5.8433344449567305E-4</v>
      </c>
      <c r="I2165" s="1" cm="1">
        <f t="array" ref="I2165">(SUMPRODUCT(("var_ncap"=[1]OUT_TransportEnergyCons!$B$4:$B$10000)*1,ISNUMBER(SEARCH("T_B_u*bev*s4",[1]OUT_TransportEnergyCons!$A$4:$A$10000))*1,[1]OUT_TransportEnergyCons!G$4:G$10000))*1000</f>
        <v>6.1401329843189503E-4</v>
      </c>
      <c r="J2165" s="1" cm="1">
        <f t="array" ref="J2165">(SUMPRODUCT(("var_ncap"=[1]OUT_TransportEnergyCons!$B$4:$B$10000)*1,ISNUMBER(SEARCH("T_B_u*bev*s4",[1]OUT_TransportEnergyCons!$A$4:$A$10000))*1,[1]OUT_TransportEnergyCons!H$4:H$10000))*1000</f>
        <v>8.7942869259211899E-4</v>
      </c>
      <c r="K2165" s="1" cm="1">
        <f t="array" ref="K2165">(SUMPRODUCT(("var_ncap"=[1]OUT_TransportEnergyCons!$B$4:$B$10000)*1,ISNUMBER(SEARCH("T_B_u*bev*s4",[1]OUT_TransportEnergyCons!$A$4:$A$10000))*1,[1]OUT_TransportEnergyCons!I$4:I$10000))*1000</f>
        <v>3.6818496057556698E-4</v>
      </c>
    </row>
    <row r="2166" spans="2:11" x14ac:dyDescent="0.35">
      <c r="B2166" s="5" t="str">
        <f t="shared" si="1307"/>
        <v>SPS3</v>
      </c>
      <c r="C2166" s="5" t="str">
        <f t="shared" si="1308"/>
        <v>CH</v>
      </c>
      <c r="D2166" t="s">
        <v>2316</v>
      </c>
      <c r="E2166" t="s">
        <v>2000</v>
      </c>
      <c r="F2166" s="1" cm="1">
        <f t="array" ref="F2166">(SUMPRODUCT(("var_ncap"=[1]OUT_TransportEnergyCons!$B$4:$B$10000)*1,ISNUMBER(SEARCH("T_B_u*h2o*s1",[1]OUT_TransportEnergyCons!$A$4:$A$10000))*1,[1]OUT_TransportEnergyCons!D$4:D$10000))*1000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(SUMPRODUCT(("var_ncap"=[1]OUT_TransportEnergyCons!$B$4:$B$10000)*1,ISNUMBER(SEARCH("T_B_u*h2o*s1",[1]OUT_TransportEnergyCons!$A$4:$A$10000))*1,[1]OUT_TransportEnergyCons!E$4:E$10000))*1000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(SUMPRODUCT(("var_ncap"=[1]OUT_TransportEnergyCons!$B$4:$B$10000)*1,ISNUMBER(SEARCH("T_B_u*h2o*s1",[1]OUT_TransportEnergyCons!$A$4:$A$10000))*1,[1]OUT_TransportEnergyCons!F$4:F$10000))*1000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(SUMPRODUCT(("var_ncap"=[1]OUT_TransportEnergyCons!$B$4:$B$10000)*1,ISNUMBER(SEARCH("T_B_u*h2o*s1",[1]OUT_TransportEnergyCons!$A$4:$A$10000))*1,[1]OUT_TransportEnergyCons!G$4:G$10000))*1000</f>
        <v>7.2902474560729297E-5</v>
      </c>
      <c r="J2166" s="1" cm="1">
        <f t="array" ref="J2166">(SUMPRODUCT(("var_ncap"=[1]OUT_TransportEnergyCons!$B$4:$B$10000)*1,ISNUMBER(SEARCH("T_B_u*h2o*s1",[1]OUT_TransportEnergyCons!$A$4:$A$10000))*1,[1]OUT_TransportEnergyCons!H$4:H$10000))*1000</f>
        <v>2.7785645305400999E-5</v>
      </c>
      <c r="K2166" s="1" cm="1">
        <f t="array" ref="K2166">(SUMPRODUCT(("var_ncap"=[1]OUT_TransportEnergyCons!$B$4:$B$10000)*1,ISNUMBER(SEARCH("T_B_u*h2o*s1",[1]OUT_TransportEnergyCons!$A$4:$A$10000))*1,[1]OUT_TransportEnergyCons!I$4:I$10000))*1000</f>
        <v>2.3248379919972301E-5</v>
      </c>
    </row>
    <row r="2167" spans="2:11" x14ac:dyDescent="0.35">
      <c r="B2167" s="5" t="str">
        <f t="shared" si="1307"/>
        <v>SPS3</v>
      </c>
      <c r="C2167" s="5" t="str">
        <f t="shared" si="1308"/>
        <v>CH</v>
      </c>
      <c r="D2167" t="s">
        <v>2317</v>
      </c>
      <c r="E2167" t="s">
        <v>2000</v>
      </c>
      <c r="F2167" s="1" cm="1">
        <f t="array" ref="F2167">(SUMPRODUCT(("var_ncap"=[1]OUT_TransportEnergyCons!$B$4:$B$10000)*1,ISNUMBER(SEARCH("T_B_u*h2o*s2",[1]OUT_TransportEnergyCons!$A$4:$A$10000))*1,[1]OUT_TransportEnergyCons!D$4:D$10000))*1000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(SUMPRODUCT(("var_ncap"=[1]OUT_TransportEnergyCons!$B$4:$B$10000)*1,ISNUMBER(SEARCH("T_B_u*h2o*s2",[1]OUT_TransportEnergyCons!$A$4:$A$10000))*1,[1]OUT_TransportEnergyCons!E$4:E$10000))*1000</f>
        <v>0</v>
      </c>
      <c r="H2167" s="1" cm="1">
        <f t="array" ref="H2167">(SUMPRODUCT(("var_ncap"=[1]OUT_TransportEnergyCons!$B$4:$B$10000)*1,ISNUMBER(SEARCH("T_B_u*h2o*s2",[1]OUT_TransportEnergyCons!$A$4:$A$10000))*1,[1]OUT_TransportEnergyCons!F$4:F$10000))*1000</f>
        <v>0</v>
      </c>
      <c r="I2167" s="1" cm="1">
        <f t="array" ref="I2167">(SUMPRODUCT(("var_ncap"=[1]OUT_TransportEnergyCons!$B$4:$B$10000)*1,ISNUMBER(SEARCH("T_B_u*h2o*s2",[1]OUT_TransportEnergyCons!$A$4:$A$10000))*1,[1]OUT_TransportEnergyCons!G$4:G$10000))*1000</f>
        <v>0</v>
      </c>
      <c r="J2167" s="1" cm="1">
        <f t="array" ref="J2167">(SUMPRODUCT(("var_ncap"=[1]OUT_TransportEnergyCons!$B$4:$B$10000)*1,ISNUMBER(SEARCH("T_B_u*h2o*s2",[1]OUT_TransportEnergyCons!$A$4:$A$10000))*1,[1]OUT_TransportEnergyCons!H$4:H$10000))*1000</f>
        <v>1.32290089742426E-5</v>
      </c>
      <c r="K2167" s="1" cm="1">
        <f t="array" ref="K2167">(SUMPRODUCT(("var_ncap"=[1]OUT_TransportEnergyCons!$B$4:$B$10000)*1,ISNUMBER(SEARCH("T_B_u*h2o*s2",[1]OUT_TransportEnergyCons!$A$4:$A$10000))*1,[1]OUT_TransportEnergyCons!I$4:I$10000))*1000</f>
        <v>1.2637695880063601E-5</v>
      </c>
    </row>
    <row r="2168" spans="2:11" x14ac:dyDescent="0.35">
      <c r="B2168" s="5" t="str">
        <f t="shared" si="1307"/>
        <v>SPS3</v>
      </c>
      <c r="C2168" s="5" t="str">
        <f t="shared" si="1308"/>
        <v>CH</v>
      </c>
      <c r="D2168" t="s">
        <v>2318</v>
      </c>
      <c r="E2168" t="s">
        <v>2000</v>
      </c>
      <c r="F2168" s="1" cm="1">
        <f t="array" ref="F2168">(SUMPRODUCT(("var_ncap"=[1]OUT_TransportEnergyCons!$B$4:$B$10000)*1,ISNUMBER(SEARCH("T_B_u*h2o*s3",[1]OUT_TransportEnergyCons!$A$4:$A$10000))*1,[1]OUT_TransportEnergyCons!D$4:D$10000))*1000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(SUMPRODUCT(("var_ncap"=[1]OUT_TransportEnergyCons!$B$4:$B$10000)*1,ISNUMBER(SEARCH("T_B_u*h2o*s3",[1]OUT_TransportEnergyCons!$A$4:$A$10000))*1,[1]OUT_TransportEnergyCons!E$4:E$10000))*1000</f>
        <v>0</v>
      </c>
      <c r="H2168" s="1" cm="1">
        <f t="array" ref="H2168">(SUMPRODUCT(("var_ncap"=[1]OUT_TransportEnergyCons!$B$4:$B$10000)*1,ISNUMBER(SEARCH("T_B_u*h2o*s3",[1]OUT_TransportEnergyCons!$A$4:$A$10000))*1,[1]OUT_TransportEnergyCons!F$4:F$10000))*1000</f>
        <v>0</v>
      </c>
      <c r="I2168" s="1" cm="1">
        <f t="array" ref="I2168">(SUMPRODUCT(("var_ncap"=[1]OUT_TransportEnergyCons!$B$4:$B$10000)*1,ISNUMBER(SEARCH("T_B_u*h2o*s3",[1]OUT_TransportEnergyCons!$A$4:$A$10000))*1,[1]OUT_TransportEnergyCons!G$4:G$10000))*1000</f>
        <v>0</v>
      </c>
      <c r="J2168" s="1" cm="1">
        <f t="array" ref="J2168">(SUMPRODUCT(("var_ncap"=[1]OUT_TransportEnergyCons!$B$4:$B$10000)*1,ISNUMBER(SEARCH("T_B_u*h2o*s3",[1]OUT_TransportEnergyCons!$A$4:$A$10000))*1,[1]OUT_TransportEnergyCons!H$4:H$10000))*1000</f>
        <v>0</v>
      </c>
      <c r="K2168" s="1" cm="1">
        <f t="array" ref="K2168">(SUMPRODUCT(("var_ncap"=[1]OUT_TransportEnergyCons!$B$4:$B$10000)*1,ISNUMBER(SEARCH("T_B_u*h2o*s3",[1]OUT_TransportEnergyCons!$A$4:$A$10000))*1,[1]OUT_TransportEnergyCons!I$4:I$10000))*1000</f>
        <v>0</v>
      </c>
    </row>
    <row r="2169" spans="2:11" x14ac:dyDescent="0.35">
      <c r="B2169" s="5" t="str">
        <f t="shared" si="1307"/>
        <v>SPS3</v>
      </c>
      <c r="C2169" s="5" t="str">
        <f t="shared" si="1308"/>
        <v>CH</v>
      </c>
      <c r="D2169" t="s">
        <v>2319</v>
      </c>
      <c r="E2169" t="s">
        <v>2000</v>
      </c>
      <c r="F2169" s="1" cm="1">
        <f t="array" ref="F2169">(SUMPRODUCT(("var_ncap"=[1]OUT_TransportEnergyCons!$B$4:$B$10000)*1,ISNUMBER(SEARCH("T_B_u*h2o*s4",[1]OUT_TransportEnergyCons!$A$4:$A$10000))*1,[1]OUT_TransportEnergyCons!D$4:D$10000))*1000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(SUMPRODUCT(("var_ncap"=[1]OUT_TransportEnergyCons!$B$4:$B$10000)*1,ISNUMBER(SEARCH("T_B_u*h2o*s4",[1]OUT_TransportEnergyCons!$A$4:$A$10000))*1,[1]OUT_TransportEnergyCons!E$4:E$10000))*1000</f>
        <v>0</v>
      </c>
      <c r="H2169" s="1" cm="1">
        <f t="array" ref="H2169">(SUMPRODUCT(("var_ncap"=[1]OUT_TransportEnergyCons!$B$4:$B$10000)*1,ISNUMBER(SEARCH("T_B_u*h2o*s4",[1]OUT_TransportEnergyCons!$A$4:$A$10000))*1,[1]OUT_TransportEnergyCons!F$4:F$10000))*1000</f>
        <v>0</v>
      </c>
      <c r="I2169" s="1" cm="1">
        <f t="array" ref="I2169">(SUMPRODUCT(("var_ncap"=[1]OUT_TransportEnergyCons!$B$4:$B$10000)*1,ISNUMBER(SEARCH("T_B_u*h2o*s4",[1]OUT_TransportEnergyCons!$A$4:$A$10000))*1,[1]OUT_TransportEnergyCons!G$4:G$10000))*1000</f>
        <v>0</v>
      </c>
      <c r="J2169" s="1" cm="1">
        <f t="array" ref="J2169">(SUMPRODUCT(("var_ncap"=[1]OUT_TransportEnergyCons!$B$4:$B$10000)*1,ISNUMBER(SEARCH("T_B_u*h2o*s4",[1]OUT_TransportEnergyCons!$A$4:$A$10000))*1,[1]OUT_TransportEnergyCons!H$4:H$10000))*1000</f>
        <v>0</v>
      </c>
      <c r="K2169" s="1" cm="1">
        <f t="array" ref="K2169">(SUMPRODUCT(("var_ncap"=[1]OUT_TransportEnergyCons!$B$4:$B$10000)*1,ISNUMBER(SEARCH("T_B_u*h2o*s4",[1]OUT_TransportEnergyCons!$A$4:$A$10000))*1,[1]OUT_TransportEnergyCons!I$4:I$10000))*1000</f>
        <v>0</v>
      </c>
    </row>
    <row r="2170" spans="2:11" x14ac:dyDescent="0.35">
      <c r="B2170" s="5" t="str">
        <f t="shared" si="1307"/>
        <v>SPS3</v>
      </c>
      <c r="C2170" s="5" t="str">
        <f t="shared" si="1308"/>
        <v>CH</v>
      </c>
      <c r="D2170" t="s">
        <v>2320</v>
      </c>
      <c r="E2170" t="s">
        <v>2000</v>
      </c>
      <c r="F2170" s="1" cm="1">
        <f t="array" ref="F2170">(SUMPRODUCT(("var_ncap"=[1]OUT_TransportEnergyCons!$B$4:$B$10000)*1,ISNUMBER(SEARCH("T_B_u*hyb*DSL*s1",[1]OUT_TransportEnergyCons!$A$4:$A$10000))*1,[1]OUT_TransportEnergyCons!D$4:D$10000))*1000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(SUMPRODUCT(("var_ncap"=[1]OUT_TransportEnergyCons!$B$4:$B$10000)*1,ISNUMBER(SEARCH("T_B_u*hyb*DSL*s1",[1]OUT_TransportEnergyCons!$A$4:$A$10000))*1,[1]OUT_TransportEnergyCons!E$4:E$10000))*1000</f>
        <v>0.106478166892954</v>
      </c>
      <c r="H2170" s="1" cm="1">
        <f t="array" ref="H2170">(SUMPRODUCT(("var_ncap"=[1]OUT_TransportEnergyCons!$B$4:$B$10000)*1,ISNUMBER(SEARCH("T_B_u*hyb*DSL*s1",[1]OUT_TransportEnergyCons!$A$4:$A$10000))*1,[1]OUT_TransportEnergyCons!F$4:F$10000))*1000</f>
        <v>3.3214886931525601E-3</v>
      </c>
      <c r="I2170" s="1" cm="1">
        <f t="array" ref="I2170">(SUMPRODUCT(("var_ncap"=[1]OUT_TransportEnergyCons!$B$4:$B$10000)*1,ISNUMBER(SEARCH("T_B_u*hyb*DSL*s1",[1]OUT_TransportEnergyCons!$A$4:$A$10000))*1,[1]OUT_TransportEnergyCons!G$4:G$10000))*1000</f>
        <v>9.8683030041480909E-4</v>
      </c>
      <c r="J2170" s="1" cm="1">
        <f t="array" ref="J2170">(SUMPRODUCT(("var_ncap"=[1]OUT_TransportEnergyCons!$B$4:$B$10000)*1,ISNUMBER(SEARCH("T_B_u*hyb*DSL*s1",[1]OUT_TransportEnergyCons!$A$4:$A$10000))*1,[1]OUT_TransportEnergyCons!H$4:H$10000))*1000</f>
        <v>8.1228200283981297E-2</v>
      </c>
      <c r="K2170" s="1" cm="1">
        <f t="array" ref="K2170">(SUMPRODUCT(("var_ncap"=[1]OUT_TransportEnergyCons!$B$4:$B$10000)*1,ISNUMBER(SEARCH("T_B_u*hyb*DSL*s1",[1]OUT_TransportEnergyCons!$A$4:$A$10000))*1,[1]OUT_TransportEnergyCons!I$4:I$10000))*1000</f>
        <v>0.68109856860814599</v>
      </c>
    </row>
    <row r="2171" spans="2:11" x14ac:dyDescent="0.35">
      <c r="B2171" s="5" t="str">
        <f t="shared" si="1307"/>
        <v>SPS3</v>
      </c>
      <c r="C2171" s="5" t="str">
        <f t="shared" si="1308"/>
        <v>CH</v>
      </c>
      <c r="D2171" t="s">
        <v>2321</v>
      </c>
      <c r="E2171" t="s">
        <v>2000</v>
      </c>
      <c r="F2171" s="1" cm="1">
        <f t="array" ref="F2171">(SUMPRODUCT(("var_ncap"=[1]OUT_TransportEnergyCons!$B$4:$B$10000)*1,ISNUMBER(SEARCH("T_B_u*hyb*DSL*s2",[1]OUT_TransportEnergyCons!$A$4:$A$10000))*1,[1]OUT_TransportEnergyCons!D$4:D$10000))*1000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(SUMPRODUCT(("var_ncap"=[1]OUT_TransportEnergyCons!$B$4:$B$10000)*1,ISNUMBER(SEARCH("T_B_u*hyb*DSL*s2",[1]OUT_TransportEnergyCons!$A$4:$A$10000))*1,[1]OUT_TransportEnergyCons!E$4:E$10000))*1000</f>
        <v>1.9689443412717997E-3</v>
      </c>
      <c r="H2171" s="1" cm="1">
        <f t="array" ref="H2171">(SUMPRODUCT(("var_ncap"=[1]OUT_TransportEnergyCons!$B$4:$B$10000)*1,ISNUMBER(SEARCH("T_B_u*hyb*DSL*s2",[1]OUT_TransportEnergyCons!$A$4:$A$10000))*1,[1]OUT_TransportEnergyCons!F$4:F$10000))*1000</f>
        <v>1.21211850552801E-3</v>
      </c>
      <c r="I2171" s="1" cm="1">
        <f t="array" ref="I2171">(SUMPRODUCT(("var_ncap"=[1]OUT_TransportEnergyCons!$B$4:$B$10000)*1,ISNUMBER(SEARCH("T_B_u*hyb*DSL*s2",[1]OUT_TransportEnergyCons!$A$4:$A$10000))*1,[1]OUT_TransportEnergyCons!G$4:G$10000))*1000</f>
        <v>7.3659669090811496E-4</v>
      </c>
      <c r="J2171" s="1" cm="1">
        <f t="array" ref="J2171">(SUMPRODUCT(("var_ncap"=[1]OUT_TransportEnergyCons!$B$4:$B$10000)*1,ISNUMBER(SEARCH("T_B_u*hyb*DSL*s2",[1]OUT_TransportEnergyCons!$A$4:$A$10000))*1,[1]OUT_TransportEnergyCons!H$4:H$10000))*1000</f>
        <v>8.3010836431099606E-4</v>
      </c>
      <c r="K2171" s="1" cm="1">
        <f t="array" ref="K2171">(SUMPRODUCT(("var_ncap"=[1]OUT_TransportEnergyCons!$B$4:$B$10000)*1,ISNUMBER(SEARCH("T_B_u*hyb*DSL*s2",[1]OUT_TransportEnergyCons!$A$4:$A$10000))*1,[1]OUT_TransportEnergyCons!I$4:I$10000))*1000</f>
        <v>1.5048660577515998E-4</v>
      </c>
    </row>
    <row r="2172" spans="2:11" x14ac:dyDescent="0.35">
      <c r="B2172" s="5" t="str">
        <f t="shared" si="1307"/>
        <v>SPS3</v>
      </c>
      <c r="C2172" s="5" t="str">
        <f t="shared" si="1308"/>
        <v>CH</v>
      </c>
      <c r="D2172" t="s">
        <v>2322</v>
      </c>
      <c r="E2172" t="s">
        <v>2000</v>
      </c>
      <c r="F2172" s="1" cm="1">
        <f t="array" ref="F2172">(SUMPRODUCT(("var_ncap"=[1]OUT_TransportEnergyCons!$B$4:$B$10000)*1,ISNUMBER(SEARCH("T_B_u*hyb*DSL*s3",[1]OUT_TransportEnergyCons!$A$4:$A$10000))*1,[1]OUT_TransportEnergyCons!D$4:D$10000))*1000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(SUMPRODUCT(("var_ncap"=[1]OUT_TransportEnergyCons!$B$4:$B$10000)*1,ISNUMBER(SEARCH("T_B_u*hyb*DSL*s3",[1]OUT_TransportEnergyCons!$A$4:$A$10000))*1,[1]OUT_TransportEnergyCons!E$4:E$10000))*1000</f>
        <v>3.3023036058594398E-3</v>
      </c>
      <c r="H2172" s="1" cm="1">
        <f t="array" ref="H2172">(SUMPRODUCT(("var_ncap"=[1]OUT_TransportEnergyCons!$B$4:$B$10000)*1,ISNUMBER(SEARCH("T_B_u*hyb*DSL*s3",[1]OUT_TransportEnergyCons!$A$4:$A$10000))*1,[1]OUT_TransportEnergyCons!F$4:F$10000))*1000</f>
        <v>0.30895085388987098</v>
      </c>
      <c r="I2172" s="1" cm="1">
        <f t="array" ref="I2172">(SUMPRODUCT(("var_ncap"=[1]OUT_TransportEnergyCons!$B$4:$B$10000)*1,ISNUMBER(SEARCH("T_B_u*hyb*DSL*s3",[1]OUT_TransportEnergyCons!$A$4:$A$10000))*1,[1]OUT_TransportEnergyCons!G$4:G$10000))*1000</f>
        <v>1.7371460951541801E-3</v>
      </c>
      <c r="J2172" s="1" cm="1">
        <f t="array" ref="J2172">(SUMPRODUCT(("var_ncap"=[1]OUT_TransportEnergyCons!$B$4:$B$10000)*1,ISNUMBER(SEARCH("T_B_u*hyb*DSL*s3",[1]OUT_TransportEnergyCons!$A$4:$A$10000))*1,[1]OUT_TransportEnergyCons!H$4:H$10000))*1000</f>
        <v>3.7745231830054902E-4</v>
      </c>
      <c r="K2172" s="1" cm="1">
        <f t="array" ref="K2172">(SUMPRODUCT(("var_ncap"=[1]OUT_TransportEnergyCons!$B$4:$B$10000)*1,ISNUMBER(SEARCH("T_B_u*hyb*DSL*s3",[1]OUT_TransportEnergyCons!$A$4:$A$10000))*1,[1]OUT_TransportEnergyCons!I$4:I$10000))*1000</f>
        <v>5.1650815313023897E-5</v>
      </c>
    </row>
    <row r="2173" spans="2:11" x14ac:dyDescent="0.35">
      <c r="B2173" s="5" t="str">
        <f t="shared" si="1307"/>
        <v>SPS3</v>
      </c>
      <c r="C2173" s="5" t="str">
        <f t="shared" si="1308"/>
        <v>CH</v>
      </c>
      <c r="D2173" t="s">
        <v>2323</v>
      </c>
      <c r="E2173" t="s">
        <v>2000</v>
      </c>
      <c r="F2173" s="1" cm="1">
        <f t="array" ref="F2173">(SUMPRODUCT(("var_ncap"=[1]OUT_TransportEnergyCons!$B$4:$B$10000)*1,ISNUMBER(SEARCH("T_B_u*hyb*DSL*s4",[1]OUT_TransportEnergyCons!$A$4:$A$10000))*1,[1]OUT_TransportEnergyCons!D$4:D$10000))*1000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(SUMPRODUCT(("var_ncap"=[1]OUT_TransportEnergyCons!$B$4:$B$10000)*1,ISNUMBER(SEARCH("T_B_u*hyb*DSL*s4",[1]OUT_TransportEnergyCons!$A$4:$A$10000))*1,[1]OUT_TransportEnergyCons!E$4:E$10000))*1000</f>
        <v>7.8887297999154492E-5</v>
      </c>
      <c r="H2173" s="1" cm="1">
        <f t="array" ref="H2173">(SUMPRODUCT(("var_ncap"=[1]OUT_TransportEnergyCons!$B$4:$B$10000)*1,ISNUMBER(SEARCH("T_B_u*hyb*DSL*s4",[1]OUT_TransportEnergyCons!$A$4:$A$10000))*1,[1]OUT_TransportEnergyCons!F$4:F$10000))*1000</f>
        <v>6.3681945593633995E-5</v>
      </c>
      <c r="I2173" s="1" cm="1">
        <f t="array" ref="I2173">(SUMPRODUCT(("var_ncap"=[1]OUT_TransportEnergyCons!$B$4:$B$10000)*1,ISNUMBER(SEARCH("T_B_u*hyb*DSL*s4",[1]OUT_TransportEnergyCons!$A$4:$A$10000))*1,[1]OUT_TransportEnergyCons!G$4:G$10000))*1000</f>
        <v>4.2701856727388498E-5</v>
      </c>
      <c r="J2173" s="1" cm="1">
        <f t="array" ref="J2173">(SUMPRODUCT(("var_ncap"=[1]OUT_TransportEnergyCons!$B$4:$B$10000)*1,ISNUMBER(SEARCH("T_B_u*hyb*DSL*s4",[1]OUT_TransportEnergyCons!$A$4:$A$10000))*1,[1]OUT_TransportEnergyCons!H$4:H$10000))*1000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(SUMPRODUCT(("var_ncap"=[1]OUT_TransportEnergyCons!$B$4:$B$10000)*1,ISNUMBER(SEARCH("T_B_u*hyb*DSL*s4",[1]OUT_TransportEnergyCons!$A$4:$A$10000))*1,[1]OUT_TransportEnergyCons!I$4:I$10000))*1000</f>
        <v>0</v>
      </c>
    </row>
    <row r="2174" spans="2:11" x14ac:dyDescent="0.35">
      <c r="B2174" s="5" t="str">
        <f t="shared" ref="B2174:B2237" si="1311">B2173</f>
        <v>SPS3</v>
      </c>
      <c r="C2174" s="5" t="str">
        <f t="shared" ref="C2174:C2237" si="1312">C2173</f>
        <v>CH</v>
      </c>
      <c r="D2174" t="s">
        <v>2324</v>
      </c>
      <c r="E2174" t="s">
        <v>2000</v>
      </c>
      <c r="F2174" s="1" cm="1">
        <f t="array" ref="F2174">(SUMPRODUCT(("var_ncap"=[1]OUT_TransportEnergyCons!$B$4:$B$10000)*1,ISNUMBER(SEARCH("T_B_u*ICE*DSL*ext",[1]OUT_TransportEnergyCons!$A$4:$A$10000))*1,[1]OUT_TransportEnergyCons!D$4:D$10000))*1000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(SUMPRODUCT(("var_ncap"=[1]OUT_TransportEnergyCons!$B$4:$B$10000)*1,ISNUMBER(SEARCH("T_B_u*ICE*DSL*ext",[1]OUT_TransportEnergyCons!$A$4:$A$10000))*1,[1]OUT_TransportEnergyCons!E$4:E$10000))*1000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(SUMPRODUCT(("var_ncap"=[1]OUT_TransportEnergyCons!$B$4:$B$10000)*1,ISNUMBER(SEARCH("T_B_u*ICE*DSL*ext",[1]OUT_TransportEnergyCons!$A$4:$A$10000))*1,[1]OUT_TransportEnergyCons!F$4:F$10000))*1000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(SUMPRODUCT(("var_ncap"=[1]OUT_TransportEnergyCons!$B$4:$B$10000)*1,ISNUMBER(SEARCH("T_B_u*ICE*DSL*ext",[1]OUT_TransportEnergyCons!$A$4:$A$10000))*1,[1]OUT_TransportEnergyCons!G$4:G$10000))*1000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(SUMPRODUCT(("var_ncap"=[1]OUT_TransportEnergyCons!$B$4:$B$10000)*1,ISNUMBER(SEARCH("T_B_u*ICE*DSL*ext",[1]OUT_TransportEnergyCons!$A$4:$A$10000))*1,[1]OUT_TransportEnergyCons!H$4:H$10000))*1000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(SUMPRODUCT(("var_ncap"=[1]OUT_TransportEnergyCons!$B$4:$B$10000)*1,ISNUMBER(SEARCH("T_B_u*ICE*DSL*ext",[1]OUT_TransportEnergyCons!$A$4:$A$10000))*1,[1]OUT_TransportEnergyCons!I$4:I$10000))*1000</f>
        <v>0</v>
      </c>
    </row>
    <row r="2175" spans="2:11" x14ac:dyDescent="0.35">
      <c r="B2175" s="5" t="str">
        <f t="shared" si="1311"/>
        <v>SPS3</v>
      </c>
      <c r="C2175" s="5" t="str">
        <f t="shared" si="1312"/>
        <v>CH</v>
      </c>
      <c r="D2175" t="s">
        <v>2325</v>
      </c>
      <c r="E2175" t="s">
        <v>2000</v>
      </c>
      <c r="F2175" s="1" cm="1">
        <f t="array" ref="F2175">(SUMPRODUCT(("var_ncap"=[1]OUT_TransportEnergyCons!$B$4:$B$10000)*1,ISNUMBER(SEARCH("T_B_u*ICE*DSL*s1",[1]OUT_TransportEnergyCons!$A$4:$A$10000))*1,[1]OUT_TransportEnergyCons!D$4:D$10000))*1000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(SUMPRODUCT(("var_ncap"=[1]OUT_TransportEnergyCons!$B$4:$B$10000)*1,ISNUMBER(SEARCH("T_B_u*ICE*DSL*s1",[1]OUT_TransportEnergyCons!$A$4:$A$10000))*1,[1]OUT_TransportEnergyCons!E$4:E$10000))*1000</f>
        <v>0.53943451926415709</v>
      </c>
      <c r="H2175" s="1" cm="1">
        <f t="array" ref="H2175">(SUMPRODUCT(("var_ncap"=[1]OUT_TransportEnergyCons!$B$4:$B$10000)*1,ISNUMBER(SEARCH("T_B_u*ICE*DSL*s1",[1]OUT_TransportEnergyCons!$A$4:$A$10000))*1,[1]OUT_TransportEnergyCons!F$4:F$10000))*1000</f>
        <v>0.508435272667357</v>
      </c>
      <c r="I2175" s="1" cm="1">
        <f t="array" ref="I2175">(SUMPRODUCT(("var_ncap"=[1]OUT_TransportEnergyCons!$B$4:$B$10000)*1,ISNUMBER(SEARCH("T_B_u*ICE*DSL*s1",[1]OUT_TransportEnergyCons!$A$4:$A$10000))*1,[1]OUT_TransportEnergyCons!G$4:G$10000))*1000</f>
        <v>0</v>
      </c>
      <c r="J2175" s="1" cm="1">
        <f t="array" ref="J2175">(SUMPRODUCT(("var_ncap"=[1]OUT_TransportEnergyCons!$B$4:$B$10000)*1,ISNUMBER(SEARCH("T_B_u*ICE*DSL*s1",[1]OUT_TransportEnergyCons!$A$4:$A$10000))*1,[1]OUT_TransportEnergyCons!H$4:H$10000))*1000</f>
        <v>6.3755519855449299E-5</v>
      </c>
      <c r="K2175" s="1" cm="1">
        <f t="array" ref="K2175">(SUMPRODUCT(("var_ncap"=[1]OUT_TransportEnergyCons!$B$4:$B$10000)*1,ISNUMBER(SEARCH("T_B_u*ICE*DSL*s1",[1]OUT_TransportEnergyCons!$A$4:$A$10000))*1,[1]OUT_TransportEnergyCons!I$4:I$10000))*1000</f>
        <v>6.0299779885720192E-5</v>
      </c>
    </row>
    <row r="2176" spans="2:11" x14ac:dyDescent="0.35">
      <c r="B2176" s="5" t="str">
        <f t="shared" si="1311"/>
        <v>SPS3</v>
      </c>
      <c r="C2176" s="5" t="str">
        <f t="shared" si="1312"/>
        <v>CH</v>
      </c>
      <c r="D2176" t="s">
        <v>2326</v>
      </c>
      <c r="E2176" t="s">
        <v>2000</v>
      </c>
      <c r="F2176" s="1" cm="1">
        <f t="array" ref="F2176">(SUMPRODUCT(("var_ncap"=[1]OUT_TransportEnergyCons!$B$4:$B$10000)*1,ISNUMBER(SEARCH("T_B_u*ICE*DSL*s2",[1]OUT_TransportEnergyCons!$A$4:$A$10000))*1,[1]OUT_TransportEnergyCons!D$4:D$10000))*1000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(SUMPRODUCT(("var_ncap"=[1]OUT_TransportEnergyCons!$B$4:$B$10000)*1,ISNUMBER(SEARCH("T_B_u*ICE*DSL*s2",[1]OUT_TransportEnergyCons!$A$4:$A$10000))*1,[1]OUT_TransportEnergyCons!E$4:E$10000))*1000</f>
        <v>9.4901370184867096E-3</v>
      </c>
      <c r="H2176" s="1" cm="1">
        <f t="array" ref="H2176">(SUMPRODUCT(("var_ncap"=[1]OUT_TransportEnergyCons!$B$4:$B$10000)*1,ISNUMBER(SEARCH("T_B_u*ICE*DSL*s2",[1]OUT_TransportEnergyCons!$A$4:$A$10000))*1,[1]OUT_TransportEnergyCons!F$4:F$10000))*1000</f>
        <v>0.17239179871858901</v>
      </c>
      <c r="I2176" s="1" cm="1">
        <f t="array" ref="I2176">(SUMPRODUCT(("var_ncap"=[1]OUT_TransportEnergyCons!$B$4:$B$10000)*1,ISNUMBER(SEARCH("T_B_u*ICE*DSL*s2",[1]OUT_TransportEnergyCons!$A$4:$A$10000))*1,[1]OUT_TransportEnergyCons!G$4:G$10000))*1000</f>
        <v>0</v>
      </c>
      <c r="J2176" s="1" cm="1">
        <f t="array" ref="J2176">(SUMPRODUCT(("var_ncap"=[1]OUT_TransportEnergyCons!$B$4:$B$10000)*1,ISNUMBER(SEARCH("T_B_u*ICE*DSL*s2",[1]OUT_TransportEnergyCons!$A$4:$A$10000))*1,[1]OUT_TransportEnergyCons!H$4:H$10000))*1000</f>
        <v>2.6288730221460403E-5</v>
      </c>
      <c r="K2176" s="1" cm="1">
        <f t="array" ref="K2176">(SUMPRODUCT(("var_ncap"=[1]OUT_TransportEnergyCons!$B$4:$B$10000)*1,ISNUMBER(SEARCH("T_B_u*ICE*DSL*s2",[1]OUT_TransportEnergyCons!$A$4:$A$10000))*1,[1]OUT_TransportEnergyCons!I$4:I$10000))*1000</f>
        <v>2.2263833271903701E-5</v>
      </c>
    </row>
    <row r="2177" spans="2:11" x14ac:dyDescent="0.35">
      <c r="B2177" s="5" t="str">
        <f t="shared" si="1311"/>
        <v>SPS3</v>
      </c>
      <c r="C2177" s="5" t="str">
        <f t="shared" si="1312"/>
        <v>CH</v>
      </c>
      <c r="D2177" t="s">
        <v>2327</v>
      </c>
      <c r="E2177" t="s">
        <v>2000</v>
      </c>
      <c r="F2177" s="1" cm="1">
        <f t="array" ref="F2177">(SUMPRODUCT(("var_ncap"=[1]OUT_TransportEnergyCons!$B$4:$B$10000)*1,ISNUMBER(SEARCH("T_B_u*ICE*DSL*s3",[1]OUT_TransportEnergyCons!$A$4:$A$10000))*1,[1]OUT_TransportEnergyCons!D$4:D$10000))*1000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(SUMPRODUCT(("var_ncap"=[1]OUT_TransportEnergyCons!$B$4:$B$10000)*1,ISNUMBER(SEARCH("T_B_u*ICE*DSL*s3",[1]OUT_TransportEnergyCons!$A$4:$A$10000))*1,[1]OUT_TransportEnergyCons!E$4:E$10000))*1000</f>
        <v>6.6240128082971902E-2</v>
      </c>
      <c r="H2177" s="1" cm="1">
        <f t="array" ref="H2177">(SUMPRODUCT(("var_ncap"=[1]OUT_TransportEnergyCons!$B$4:$B$10000)*1,ISNUMBER(SEARCH("T_B_u*ICE*DSL*s3",[1]OUT_TransportEnergyCons!$A$4:$A$10000))*1,[1]OUT_TransportEnergyCons!F$4:F$10000))*1000</f>
        <v>0.49261867661116304</v>
      </c>
      <c r="I2177" s="1" cm="1">
        <f t="array" ref="I2177">(SUMPRODUCT(("var_ncap"=[1]OUT_TransportEnergyCons!$B$4:$B$10000)*1,ISNUMBER(SEARCH("T_B_u*ICE*DSL*s3",[1]OUT_TransportEnergyCons!$A$4:$A$10000))*1,[1]OUT_TransportEnergyCons!G$4:G$10000))*1000</f>
        <v>0</v>
      </c>
      <c r="J2177" s="1" cm="1">
        <f t="array" ref="J2177">(SUMPRODUCT(("var_ncap"=[1]OUT_TransportEnergyCons!$B$4:$B$10000)*1,ISNUMBER(SEARCH("T_B_u*ICE*DSL*s3",[1]OUT_TransportEnergyCons!$A$4:$A$10000))*1,[1]OUT_TransportEnergyCons!H$4:H$10000))*1000</f>
        <v>0</v>
      </c>
      <c r="K2177" s="1" cm="1">
        <f t="array" ref="K2177">(SUMPRODUCT(("var_ncap"=[1]OUT_TransportEnergyCons!$B$4:$B$10000)*1,ISNUMBER(SEARCH("T_B_u*ICE*DSL*s3",[1]OUT_TransportEnergyCons!$A$4:$A$10000))*1,[1]OUT_TransportEnergyCons!I$4:I$10000))*1000</f>
        <v>1.00659515932799E-5</v>
      </c>
    </row>
    <row r="2178" spans="2:11" x14ac:dyDescent="0.35">
      <c r="B2178" s="5" t="str">
        <f t="shared" si="1311"/>
        <v>SPS3</v>
      </c>
      <c r="C2178" s="5" t="str">
        <f t="shared" si="1312"/>
        <v>CH</v>
      </c>
      <c r="D2178" t="s">
        <v>2328</v>
      </c>
      <c r="E2178" t="s">
        <v>2000</v>
      </c>
      <c r="F2178" s="1" cm="1">
        <f t="array" ref="F2178">(SUMPRODUCT(("var_ncap"=[1]OUT_TransportEnergyCons!$B$4:$B$10000)*1,ISNUMBER(SEARCH("T_B_u*ICE*DSL*s4",[1]OUT_TransportEnergyCons!$A$4:$A$10000))*1,[1]OUT_TransportEnergyCons!D$4:D$10000))*1000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(SUMPRODUCT(("var_ncap"=[1]OUT_TransportEnergyCons!$B$4:$B$10000)*1,ISNUMBER(SEARCH("T_B_u*ICE*DSL*s4",[1]OUT_TransportEnergyCons!$A$4:$A$10000))*1,[1]OUT_TransportEnergyCons!E$4:E$10000))*1000</f>
        <v>7.4102300229203901E-5</v>
      </c>
      <c r="H2178" s="1" cm="1">
        <f t="array" ref="H2178">(SUMPRODUCT(("var_ncap"=[1]OUT_TransportEnergyCons!$B$4:$B$10000)*1,ISNUMBER(SEARCH("T_B_u*ICE*DSL*s4",[1]OUT_TransportEnergyCons!$A$4:$A$10000))*1,[1]OUT_TransportEnergyCons!F$4:F$10000))*1000</f>
        <v>6.7567057851037802E-5</v>
      </c>
      <c r="I2178" s="1" cm="1">
        <f t="array" ref="I2178">(SUMPRODUCT(("var_ncap"=[1]OUT_TransportEnergyCons!$B$4:$B$10000)*1,ISNUMBER(SEARCH("T_B_u*ICE*DSL*s4",[1]OUT_TransportEnergyCons!$A$4:$A$10000))*1,[1]OUT_TransportEnergyCons!G$4:G$10000))*1000</f>
        <v>0</v>
      </c>
      <c r="J2178" s="1" cm="1">
        <f t="array" ref="J2178">(SUMPRODUCT(("var_ncap"=[1]OUT_TransportEnergyCons!$B$4:$B$10000)*1,ISNUMBER(SEARCH("T_B_u*ICE*DSL*s4",[1]OUT_TransportEnergyCons!$A$4:$A$10000))*1,[1]OUT_TransportEnergyCons!H$4:H$10000))*1000</f>
        <v>0</v>
      </c>
      <c r="K2178" s="1" cm="1">
        <f t="array" ref="K2178">(SUMPRODUCT(("var_ncap"=[1]OUT_TransportEnergyCons!$B$4:$B$10000)*1,ISNUMBER(SEARCH("T_B_u*ICE*DSL*s4",[1]OUT_TransportEnergyCons!$A$4:$A$10000))*1,[1]OUT_TransportEnergyCons!I$4:I$10000))*1000</f>
        <v>0</v>
      </c>
    </row>
    <row r="2179" spans="2:11" x14ac:dyDescent="0.35">
      <c r="B2179" s="5" t="str">
        <f t="shared" si="1311"/>
        <v>SPS3</v>
      </c>
      <c r="C2179" s="5" t="str">
        <f t="shared" si="1312"/>
        <v>CH</v>
      </c>
      <c r="D2179" t="s">
        <v>2329</v>
      </c>
      <c r="E2179" t="s">
        <v>2000</v>
      </c>
      <c r="F2179" s="1" cm="1">
        <f t="array" ref="F2179">(SUMPRODUCT(("var_ncap"=[1]OUT_TransportEnergyCons!$B$4:$B$10000)*1,ISNUMBER(SEARCH("T_B_u*ICE*nga*ext",[1]OUT_TransportEnergyCons!$A$4:$A$10000))*1,[1]OUT_TransportEnergyCons!D$4:D$10000))*1000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(SUMPRODUCT(("var_ncap"=[1]OUT_TransportEnergyCons!$B$4:$B$10000)*1,ISNUMBER(SEARCH("T_B_u*ICE*nga*ext",[1]OUT_TransportEnergyCons!$A$4:$A$10000))*1,[1]OUT_TransportEnergyCons!E$4:E$10000))*1000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(SUMPRODUCT(("var_ncap"=[1]OUT_TransportEnergyCons!$B$4:$B$10000)*1,ISNUMBER(SEARCH("T_B_u*ICE*nga*ext",[1]OUT_TransportEnergyCons!$A$4:$A$10000))*1,[1]OUT_TransportEnergyCons!F$4:F$10000))*1000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(SUMPRODUCT(("var_ncap"=[1]OUT_TransportEnergyCons!$B$4:$B$10000)*1,ISNUMBER(SEARCH("T_B_u*ICE*nga*ext",[1]OUT_TransportEnergyCons!$A$4:$A$10000))*1,[1]OUT_TransportEnergyCons!G$4:G$10000))*1000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(SUMPRODUCT(("var_ncap"=[1]OUT_TransportEnergyCons!$B$4:$B$10000)*1,ISNUMBER(SEARCH("T_B_u*ICE*nga*ext",[1]OUT_TransportEnergyCons!$A$4:$A$10000))*1,[1]OUT_TransportEnergyCons!H$4:H$10000))*1000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(SUMPRODUCT(("var_ncap"=[1]OUT_TransportEnergyCons!$B$4:$B$10000)*1,ISNUMBER(SEARCH("T_B_u*ICE*nga*ext",[1]OUT_TransportEnergyCons!$A$4:$A$10000))*1,[1]OUT_TransportEnergyCons!I$4:I$10000))*1000</f>
        <v>0</v>
      </c>
    </row>
    <row r="2180" spans="2:11" x14ac:dyDescent="0.35">
      <c r="B2180" s="5" t="str">
        <f t="shared" si="1311"/>
        <v>SPS3</v>
      </c>
      <c r="C2180" s="5" t="str">
        <f t="shared" si="1312"/>
        <v>CH</v>
      </c>
      <c r="D2180" t="s">
        <v>2330</v>
      </c>
      <c r="E2180" t="s">
        <v>2000</v>
      </c>
      <c r="F2180" s="1" cm="1">
        <f t="array" ref="F2180">(SUMPRODUCT(("var_ncap"=[1]OUT_TransportEnergyCons!$B$4:$B$10000)*1,ISNUMBER(SEARCH("T_B_u*ICE*nga*s1",[1]OUT_TransportEnergyCons!$A$4:$A$10000))*1,[1]OUT_TransportEnergyCons!D$4:D$10000))*1000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(SUMPRODUCT(("var_ncap"=[1]OUT_TransportEnergyCons!$B$4:$B$10000)*1,ISNUMBER(SEARCH("T_B_u*ICE*nga*s1",[1]OUT_TransportEnergyCons!$A$4:$A$10000))*1,[1]OUT_TransportEnergyCons!E$4:E$10000))*1000</f>
        <v>3.1434207582249602E-4</v>
      </c>
      <c r="H2180" s="1" cm="1">
        <f t="array" ref="H2180">(SUMPRODUCT(("var_ncap"=[1]OUT_TransportEnergyCons!$B$4:$B$10000)*1,ISNUMBER(SEARCH("T_B_u*ICE*nga*s1",[1]OUT_TransportEnergyCons!$A$4:$A$10000))*1,[1]OUT_TransportEnergyCons!F$4:F$10000))*1000</f>
        <v>2.3776715601143703E-3</v>
      </c>
      <c r="I2180" s="1" cm="1">
        <f t="array" ref="I2180">(SUMPRODUCT(("var_ncap"=[1]OUT_TransportEnergyCons!$B$4:$B$10000)*1,ISNUMBER(SEARCH("T_B_u*ICE*nga*s1",[1]OUT_TransportEnergyCons!$A$4:$A$10000))*1,[1]OUT_TransportEnergyCons!G$4:G$10000))*1000</f>
        <v>6.5043574119518196E-5</v>
      </c>
      <c r="J2180" s="1" cm="1">
        <f t="array" ref="J2180">(SUMPRODUCT(("var_ncap"=[1]OUT_TransportEnergyCons!$B$4:$B$10000)*1,ISNUMBER(SEARCH("T_B_u*ICE*nga*s1",[1]OUT_TransportEnergyCons!$A$4:$A$10000))*1,[1]OUT_TransportEnergyCons!H$4:H$10000))*1000</f>
        <v>9.329240506493289E-5</v>
      </c>
      <c r="K2180" s="1" cm="1">
        <f t="array" ref="K2180">(SUMPRODUCT(("var_ncap"=[1]OUT_TransportEnergyCons!$B$4:$B$10000)*1,ISNUMBER(SEARCH("T_B_u*ICE*nga*s1",[1]OUT_TransportEnergyCons!$A$4:$A$10000))*1,[1]OUT_TransportEnergyCons!I$4:I$10000))*1000</f>
        <v>8.8897465529908296E-5</v>
      </c>
    </row>
    <row r="2181" spans="2:11" x14ac:dyDescent="0.35">
      <c r="B2181" s="5" t="str">
        <f t="shared" si="1311"/>
        <v>SPS3</v>
      </c>
      <c r="C2181" s="5" t="str">
        <f t="shared" si="1312"/>
        <v>CH</v>
      </c>
      <c r="D2181" t="s">
        <v>2331</v>
      </c>
      <c r="E2181" t="s">
        <v>2000</v>
      </c>
      <c r="F2181" s="1" cm="1">
        <f t="array" ref="F2181">(SUMPRODUCT(("var_ncap"=[1]OUT_TransportEnergyCons!$B$4:$B$10000)*1,ISNUMBER(SEARCH("T_B_u*ICE*nga*s2",[1]OUT_TransportEnergyCons!$A$4:$A$10000))*1,[1]OUT_TransportEnergyCons!D$4:D$10000))*1000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(SUMPRODUCT(("var_ncap"=[1]OUT_TransportEnergyCons!$B$4:$B$10000)*1,ISNUMBER(SEARCH("T_B_u*ICE*nga*s2",[1]OUT_TransportEnergyCons!$A$4:$A$10000))*1,[1]OUT_TransportEnergyCons!E$4:E$10000))*1000</f>
        <v>1.09306867423308E-4</v>
      </c>
      <c r="H2181" s="1" cm="1">
        <f t="array" ref="H2181">(SUMPRODUCT(("var_ncap"=[1]OUT_TransportEnergyCons!$B$4:$B$10000)*1,ISNUMBER(SEARCH("T_B_u*ICE*nga*s2",[1]OUT_TransportEnergyCons!$A$4:$A$10000))*1,[1]OUT_TransportEnergyCons!F$4:F$10000))*1000</f>
        <v>3.6844628015604E-3</v>
      </c>
      <c r="I2181" s="1" cm="1">
        <f t="array" ref="I2181">(SUMPRODUCT(("var_ncap"=[1]OUT_TransportEnergyCons!$B$4:$B$10000)*1,ISNUMBER(SEARCH("T_B_u*ICE*nga*s2",[1]OUT_TransportEnergyCons!$A$4:$A$10000))*1,[1]OUT_TransportEnergyCons!G$4:G$10000))*1000</f>
        <v>2.7924625326822501E-5</v>
      </c>
      <c r="J2181" s="1" cm="1">
        <f t="array" ref="J2181">(SUMPRODUCT(("var_ncap"=[1]OUT_TransportEnergyCons!$B$4:$B$10000)*1,ISNUMBER(SEARCH("T_B_u*ICE*nga*s2",[1]OUT_TransportEnergyCons!$A$4:$A$10000))*1,[1]OUT_TransportEnergyCons!H$4:H$10000))*1000</f>
        <v>3.4694057467614303E-5</v>
      </c>
      <c r="K2181" s="1" cm="1">
        <f t="array" ref="K2181">(SUMPRODUCT(("var_ncap"=[1]OUT_TransportEnergyCons!$B$4:$B$10000)*1,ISNUMBER(SEARCH("T_B_u*ICE*nga*s2",[1]OUT_TransportEnergyCons!$A$4:$A$10000))*1,[1]OUT_TransportEnergyCons!I$4:I$10000))*1000</f>
        <v>2.8096598663969797E-5</v>
      </c>
    </row>
    <row r="2182" spans="2:11" x14ac:dyDescent="0.35">
      <c r="B2182" s="5" t="str">
        <f t="shared" si="1311"/>
        <v>SPS3</v>
      </c>
      <c r="C2182" s="5" t="str">
        <f t="shared" si="1312"/>
        <v>CH</v>
      </c>
      <c r="D2182" t="s">
        <v>2332</v>
      </c>
      <c r="E2182" t="s">
        <v>2000</v>
      </c>
      <c r="F2182" s="1" cm="1">
        <f t="array" ref="F2182">(SUMPRODUCT(("var_ncap"=[1]OUT_TransportEnergyCons!$B$4:$B$10000)*1,ISNUMBER(SEARCH("T_B_u*ICE*nga*s3",[1]OUT_TransportEnergyCons!$A$4:$A$10000))*1,[1]OUT_TransportEnergyCons!D$4:D$10000))*1000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(SUMPRODUCT(("var_ncap"=[1]OUT_TransportEnergyCons!$B$4:$B$10000)*1,ISNUMBER(SEARCH("T_B_u*ICE*nga*s3",[1]OUT_TransportEnergyCons!$A$4:$A$10000))*1,[1]OUT_TransportEnergyCons!E$4:E$10000))*1000</f>
        <v>4.7101235372120098E-5</v>
      </c>
      <c r="H2182" s="1" cm="1">
        <f t="array" ref="H2182">(SUMPRODUCT(("var_ncap"=[1]OUT_TransportEnergyCons!$B$4:$B$10000)*1,ISNUMBER(SEARCH("T_B_u*ICE*nga*s3",[1]OUT_TransportEnergyCons!$A$4:$A$10000))*1,[1]OUT_TransportEnergyCons!F$4:F$10000))*1000</f>
        <v>2.3757838699409301E-2</v>
      </c>
      <c r="I2182" s="1" cm="1">
        <f t="array" ref="I2182">(SUMPRODUCT(("var_ncap"=[1]OUT_TransportEnergyCons!$B$4:$B$10000)*1,ISNUMBER(SEARCH("T_B_u*ICE*nga*s3",[1]OUT_TransportEnergyCons!$A$4:$A$10000))*1,[1]OUT_TransportEnergyCons!G$4:G$10000))*1000</f>
        <v>1.2038328080488101E-5</v>
      </c>
      <c r="J2182" s="1" cm="1">
        <f t="array" ref="J2182">(SUMPRODUCT(("var_ncap"=[1]OUT_TransportEnergyCons!$B$4:$B$10000)*1,ISNUMBER(SEARCH("T_B_u*ICE*nga*s3",[1]OUT_TransportEnergyCons!$A$4:$A$10000))*1,[1]OUT_TransportEnergyCons!H$4:H$10000))*1000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(SUMPRODUCT(("var_ncap"=[1]OUT_TransportEnergyCons!$B$4:$B$10000)*1,ISNUMBER(SEARCH("T_B_u*ICE*nga*s3",[1]OUT_TransportEnergyCons!$A$4:$A$10000))*1,[1]OUT_TransportEnergyCons!I$4:I$10000))*1000</f>
        <v>0</v>
      </c>
    </row>
    <row r="2183" spans="2:11" x14ac:dyDescent="0.35">
      <c r="B2183" s="5" t="str">
        <f t="shared" si="1311"/>
        <v>SPS3</v>
      </c>
      <c r="C2183" s="5" t="str">
        <f t="shared" si="1312"/>
        <v>CH</v>
      </c>
      <c r="D2183" t="s">
        <v>2333</v>
      </c>
      <c r="E2183" t="s">
        <v>2000</v>
      </c>
      <c r="F2183" s="1" cm="1">
        <f t="array" ref="F2183">(SUMPRODUCT(("var_ncap"=[1]OUT_TransportEnergyCons!$B$4:$B$10000)*1,ISNUMBER(SEARCH("T_B_u*ICE*nga*s4",[1]OUT_TransportEnergyCons!$A$4:$A$10000))*1,[1]OUT_TransportEnergyCons!D$4:D$10000))*1000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(SUMPRODUCT(("var_ncap"=[1]OUT_TransportEnergyCons!$B$4:$B$10000)*1,ISNUMBER(SEARCH("T_B_u*ICE*nga*s4",[1]OUT_TransportEnergyCons!$A$4:$A$10000))*1,[1]OUT_TransportEnergyCons!E$4:E$10000))*1000</f>
        <v>1.66471706975088E-5</v>
      </c>
      <c r="H2183" s="1" cm="1">
        <f t="array" ref="H2183">(SUMPRODUCT(("var_ncap"=[1]OUT_TransportEnergyCons!$B$4:$B$10000)*1,ISNUMBER(SEARCH("T_B_u*ICE*nga*s4",[1]OUT_TransportEnergyCons!$A$4:$A$10000))*1,[1]OUT_TransportEnergyCons!F$4:F$10000))*1000</f>
        <v>4.1632035308836899E-5</v>
      </c>
      <c r="I2183" s="1" cm="1">
        <f t="array" ref="I2183">(SUMPRODUCT(("var_ncap"=[1]OUT_TransportEnergyCons!$B$4:$B$10000)*1,ISNUMBER(SEARCH("T_B_u*ICE*nga*s4",[1]OUT_TransportEnergyCons!$A$4:$A$10000))*1,[1]OUT_TransportEnergyCons!G$4:G$10000))*1000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(SUMPRODUCT(("var_ncap"=[1]OUT_TransportEnergyCons!$B$4:$B$10000)*1,ISNUMBER(SEARCH("T_B_u*ICE*nga*s4",[1]OUT_TransportEnergyCons!$A$4:$A$10000))*1,[1]OUT_TransportEnergyCons!H$4:H$10000))*1000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(SUMPRODUCT(("var_ncap"=[1]OUT_TransportEnergyCons!$B$4:$B$10000)*1,ISNUMBER(SEARCH("T_B_u*ICE*nga*s4",[1]OUT_TransportEnergyCons!$A$4:$A$10000))*1,[1]OUT_TransportEnergyCons!I$4:I$10000))*1000</f>
        <v>0</v>
      </c>
    </row>
    <row r="2184" spans="2:11" x14ac:dyDescent="0.35">
      <c r="B2184" s="5" t="str">
        <f t="shared" si="1311"/>
        <v>SPS3</v>
      </c>
      <c r="C2184" s="5" t="str">
        <f t="shared" si="1312"/>
        <v>CH</v>
      </c>
      <c r="D2184" s="2" t="s">
        <v>2186</v>
      </c>
      <c r="E2184" s="2" t="s">
        <v>2000</v>
      </c>
      <c r="F2184" s="3">
        <f t="shared" ref="F2184:K2184" si="1313">SUM(F2185:F2207)</f>
        <v>0</v>
      </c>
      <c r="G2184" s="3">
        <f t="shared" si="1313"/>
        <v>0.51177588038868382</v>
      </c>
      <c r="H2184" s="3">
        <f t="shared" si="1313"/>
        <v>0.28703645160833169</v>
      </c>
      <c r="I2184" s="3">
        <f t="shared" si="1313"/>
        <v>2.8329386537215702</v>
      </c>
      <c r="J2184" s="3">
        <f t="shared" si="1313"/>
        <v>1.4276856032602476</v>
      </c>
      <c r="K2184" s="3">
        <f t="shared" si="1313"/>
        <v>2.3987499779347039</v>
      </c>
    </row>
    <row r="2185" spans="2:11" x14ac:dyDescent="0.35">
      <c r="B2185" s="5" t="str">
        <f t="shared" si="1311"/>
        <v>SPS3</v>
      </c>
      <c r="C2185" s="5" t="str">
        <f t="shared" si="1312"/>
        <v>CH</v>
      </c>
      <c r="D2185" t="s">
        <v>2334</v>
      </c>
      <c r="E2185" t="s">
        <v>2000</v>
      </c>
      <c r="F2185" s="1" cm="1">
        <f t="array" ref="F2185">(SUMPRODUCT(("var_ncap"=[1]OUT_TransportEnergyCons!$B$4:$B$10000)*1,ISNUMBER(SEARCH("T_b_c*bev*ext",[1]OUT_TransportEnergyCons!$A$4:$A$10000))*1,[1]OUT_TransportEnergyCons!D$4:D$10000))*1000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(SUMPRODUCT(("var_ncap"=[1]OUT_TransportEnergyCons!$B$4:$B$10000)*1,ISNUMBER(SEARCH("T_b_c*bev*ext",[1]OUT_TransportEnergyCons!$A$4:$A$10000))*1,[1]OUT_TransportEnergyCons!E$4:E$10000))*1000</f>
        <v>0</v>
      </c>
      <c r="H2185" s="1" cm="1">
        <f t="array" ref="H2185">(SUMPRODUCT(("var_ncap"=[1]OUT_TransportEnergyCons!$B$4:$B$10000)*1,ISNUMBER(SEARCH("T_b_c*bev*ext",[1]OUT_TransportEnergyCons!$A$4:$A$10000))*1,[1]OUT_TransportEnergyCons!F$4:F$10000))*1000</f>
        <v>0</v>
      </c>
      <c r="I2185" s="1" cm="1">
        <f t="array" ref="I2185">(SUMPRODUCT(("var_ncap"=[1]OUT_TransportEnergyCons!$B$4:$B$10000)*1,ISNUMBER(SEARCH("T_b_c*bev*ext",[1]OUT_TransportEnergyCons!$A$4:$A$10000))*1,[1]OUT_TransportEnergyCons!G$4:G$10000))*1000</f>
        <v>0</v>
      </c>
      <c r="J2185" s="1" cm="1">
        <f t="array" ref="J2185">(SUMPRODUCT(("var_ncap"=[1]OUT_TransportEnergyCons!$B$4:$B$10000)*1,ISNUMBER(SEARCH("T_b_c*bev*ext",[1]OUT_TransportEnergyCons!$A$4:$A$10000))*1,[1]OUT_TransportEnergyCons!H$4:H$10000))*1000</f>
        <v>0</v>
      </c>
      <c r="K2185" s="1" cm="1">
        <f t="array" ref="K2185">(SUMPRODUCT(("var_ncap"=[1]OUT_TransportEnergyCons!$B$4:$B$10000)*1,ISNUMBER(SEARCH("T_b_c*bev*ext",[1]OUT_TransportEnergyCons!$A$4:$A$10000))*1,[1]OUT_TransportEnergyCons!I$4:I$10000))*1000</f>
        <v>0</v>
      </c>
    </row>
    <row r="2186" spans="2:11" x14ac:dyDescent="0.35">
      <c r="B2186" s="5" t="str">
        <f t="shared" si="1311"/>
        <v>SPS3</v>
      </c>
      <c r="C2186" s="5" t="str">
        <f t="shared" si="1312"/>
        <v>CH</v>
      </c>
      <c r="D2186" t="s">
        <v>2335</v>
      </c>
      <c r="E2186" t="s">
        <v>2000</v>
      </c>
      <c r="F2186" s="1" cm="1">
        <f t="array" ref="F2186">(SUMPRODUCT(("var_ncap"=[1]OUT_TransportEnergyCons!$B$4:$B$10000)*1,ISNUMBER(SEARCH("T_b_c*bev*s1",[1]OUT_TransportEnergyCons!$A$4:$A$10000))*1,[1]OUT_TransportEnergyCons!D$4:D$10000))*1000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(SUMPRODUCT(("var_ncap"=[1]OUT_TransportEnergyCons!$B$4:$B$10000)*1,ISNUMBER(SEARCH("T_b_c*bev*s1",[1]OUT_TransportEnergyCons!$A$4:$A$10000))*1,[1]OUT_TransportEnergyCons!E$4:E$10000))*1000</f>
        <v>2.2280568253436701E-3</v>
      </c>
      <c r="H2186" s="1" cm="1">
        <f t="array" ref="H2186">(SUMPRODUCT(("var_ncap"=[1]OUT_TransportEnergyCons!$B$4:$B$10000)*1,ISNUMBER(SEARCH("T_b_c*bev*s1",[1]OUT_TransportEnergyCons!$A$4:$A$10000))*1,[1]OUT_TransportEnergyCons!F$4:F$10000))*1000</f>
        <v>5.5799765542844599E-3</v>
      </c>
      <c r="I2186" s="1" cm="1">
        <f t="array" ref="I2186">(SUMPRODUCT(("var_ncap"=[1]OUT_TransportEnergyCons!$B$4:$B$10000)*1,ISNUMBER(SEARCH("T_b_c*bev*s1",[1]OUT_TransportEnergyCons!$A$4:$A$10000))*1,[1]OUT_TransportEnergyCons!G$4:G$10000))*1000</f>
        <v>1.39730279387718</v>
      </c>
      <c r="J2186" s="1" cm="1">
        <f t="array" ref="J2186">(SUMPRODUCT(("var_ncap"=[1]OUT_TransportEnergyCons!$B$4:$B$10000)*1,ISNUMBER(SEARCH("T_b_c*bev*s1",[1]OUT_TransportEnergyCons!$A$4:$A$10000))*1,[1]OUT_TransportEnergyCons!H$4:H$10000))*1000</f>
        <v>3.68209210373577E-2</v>
      </c>
      <c r="K2186" s="1" cm="1">
        <f t="array" ref="K2186">(SUMPRODUCT(("var_ncap"=[1]OUT_TransportEnergyCons!$B$4:$B$10000)*1,ISNUMBER(SEARCH("T_b_c*bev*s1",[1]OUT_TransportEnergyCons!$A$4:$A$10000))*1,[1]OUT_TransportEnergyCons!I$4:I$10000))*1000</f>
        <v>1.2178364964212101</v>
      </c>
    </row>
    <row r="2187" spans="2:11" x14ac:dyDescent="0.35">
      <c r="B2187" s="5" t="str">
        <f t="shared" si="1311"/>
        <v>SPS3</v>
      </c>
      <c r="C2187" s="5" t="str">
        <f t="shared" si="1312"/>
        <v>CH</v>
      </c>
      <c r="D2187" t="s">
        <v>2336</v>
      </c>
      <c r="E2187" t="s">
        <v>2000</v>
      </c>
      <c r="F2187" s="1" cm="1">
        <f t="array" ref="F2187">(SUMPRODUCT(("var_ncap"=[1]OUT_TransportEnergyCons!$B$4:$B$10000)*1,ISNUMBER(SEARCH("T_b_c*bev*s2",[1]OUT_TransportEnergyCons!$A$4:$A$10000))*1,[1]OUT_TransportEnergyCons!D$4:D$10000))*1000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(SUMPRODUCT(("var_ncap"=[1]OUT_TransportEnergyCons!$B$4:$B$10000)*1,ISNUMBER(SEARCH("T_b_c*bev*s2",[1]OUT_TransportEnergyCons!$A$4:$A$10000))*1,[1]OUT_TransportEnergyCons!E$4:E$10000))*1000</f>
        <v>1.3031525322714801E-3</v>
      </c>
      <c r="H2187" s="1" cm="1">
        <f t="array" ref="H2187">(SUMPRODUCT(("var_ncap"=[1]OUT_TransportEnergyCons!$B$4:$B$10000)*1,ISNUMBER(SEARCH("T_b_c*bev*s2",[1]OUT_TransportEnergyCons!$A$4:$A$10000))*1,[1]OUT_TransportEnergyCons!F$4:F$10000))*1000</f>
        <v>3.9783547428309902E-3</v>
      </c>
      <c r="I2187" s="1" cm="1">
        <f t="array" ref="I2187">(SUMPRODUCT(("var_ncap"=[1]OUT_TransportEnergyCons!$B$4:$B$10000)*1,ISNUMBER(SEARCH("T_b_c*bev*s2",[1]OUT_TransportEnergyCons!$A$4:$A$10000))*1,[1]OUT_TransportEnergyCons!G$4:G$10000))*1000</f>
        <v>1.17853024527354</v>
      </c>
      <c r="J2187" s="1" cm="1">
        <f t="array" ref="J2187">(SUMPRODUCT(("var_ncap"=[1]OUT_TransportEnergyCons!$B$4:$B$10000)*1,ISNUMBER(SEARCH("T_b_c*bev*s2",[1]OUT_TransportEnergyCons!$A$4:$A$10000))*1,[1]OUT_TransportEnergyCons!H$4:H$10000))*1000</f>
        <v>0.98769284355631193</v>
      </c>
      <c r="K2187" s="1" cm="1">
        <f t="array" ref="K2187">(SUMPRODUCT(("var_ncap"=[1]OUT_TransportEnergyCons!$B$4:$B$10000)*1,ISNUMBER(SEARCH("T_b_c*bev*s2",[1]OUT_TransportEnergyCons!$A$4:$A$10000))*1,[1]OUT_TransportEnergyCons!I$4:I$10000))*1000</f>
        <v>0.71347230532628503</v>
      </c>
    </row>
    <row r="2188" spans="2:11" x14ac:dyDescent="0.35">
      <c r="B2188" s="5" t="str">
        <f t="shared" si="1311"/>
        <v>SPS3</v>
      </c>
      <c r="C2188" s="5" t="str">
        <f t="shared" si="1312"/>
        <v>CH</v>
      </c>
      <c r="D2188" t="s">
        <v>2337</v>
      </c>
      <c r="E2188" t="s">
        <v>2000</v>
      </c>
      <c r="F2188" s="1" cm="1">
        <f t="array" ref="F2188">(SUMPRODUCT(("var_ncap"=[1]OUT_TransportEnergyCons!$B$4:$B$10000)*1,ISNUMBER(SEARCH("T_b_c*bev*s3",[1]OUT_TransportEnergyCons!$A$4:$A$10000))*1,[1]OUT_TransportEnergyCons!D$4:D$10000))*1000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(SUMPRODUCT(("var_ncap"=[1]OUT_TransportEnergyCons!$B$4:$B$10000)*1,ISNUMBER(SEARCH("T_b_c*bev*s3",[1]OUT_TransportEnergyCons!$A$4:$A$10000))*1,[1]OUT_TransportEnergyCons!E$4:E$10000))*1000</f>
        <v>6.3951560890742698E-4</v>
      </c>
      <c r="H2188" s="1" cm="1">
        <f t="array" ref="H2188">(SUMPRODUCT(("var_ncap"=[1]OUT_TransportEnergyCons!$B$4:$B$10000)*1,ISNUMBER(SEARCH("T_b_c*bev*s3",[1]OUT_TransportEnergyCons!$A$4:$A$10000))*1,[1]OUT_TransportEnergyCons!F$4:F$10000))*1000</f>
        <v>1.0652508868972399E-3</v>
      </c>
      <c r="I2188" s="1" cm="1">
        <f t="array" ref="I2188">(SUMPRODUCT(("var_ncap"=[1]OUT_TransportEnergyCons!$B$4:$B$10000)*1,ISNUMBER(SEARCH("T_b_c*bev*s3",[1]OUT_TransportEnergyCons!$A$4:$A$10000))*1,[1]OUT_TransportEnergyCons!G$4:G$10000))*1000</f>
        <v>4.2852221494262908E-3</v>
      </c>
      <c r="J2188" s="1" cm="1">
        <f t="array" ref="J2188">(SUMPRODUCT(("var_ncap"=[1]OUT_TransportEnergyCons!$B$4:$B$10000)*1,ISNUMBER(SEARCH("T_b_c*bev*s3",[1]OUT_TransportEnergyCons!$A$4:$A$10000))*1,[1]OUT_TransportEnergyCons!H$4:H$10000))*1000</f>
        <v>0.18733965355702201</v>
      </c>
      <c r="K2188" s="1" cm="1">
        <f t="array" ref="K2188">(SUMPRODUCT(("var_ncap"=[1]OUT_TransportEnergyCons!$B$4:$B$10000)*1,ISNUMBER(SEARCH("T_b_c*bev*s3",[1]OUT_TransportEnergyCons!$A$4:$A$10000))*1,[1]OUT_TransportEnergyCons!I$4:I$10000))*1000</f>
        <v>0.19616292565367202</v>
      </c>
    </row>
    <row r="2189" spans="2:11" x14ac:dyDescent="0.35">
      <c r="B2189" s="5" t="str">
        <f t="shared" si="1311"/>
        <v>SPS3</v>
      </c>
      <c r="C2189" s="5" t="str">
        <f t="shared" si="1312"/>
        <v>CH</v>
      </c>
      <c r="D2189" t="s">
        <v>2338</v>
      </c>
      <c r="E2189" t="s">
        <v>2000</v>
      </c>
      <c r="F2189" s="1" cm="1">
        <f t="array" ref="F2189">(SUMPRODUCT(("var_ncap"=[1]OUT_TransportEnergyCons!$B$4:$B$10000)*1,ISNUMBER(SEARCH("T_b_c*bev*s4",[1]OUT_TransportEnergyCons!$A$4:$A$10000))*1,[1]OUT_TransportEnergyCons!D$4:D$10000))*1000</f>
        <v>0</v>
      </c>
      <c r="G2189" s="1" cm="1">
        <f t="array" ref="G2189">(SUMPRODUCT(("var_ncap"=[1]OUT_TransportEnergyCons!$B$4:$B$10000)*1,ISNUMBER(SEARCH("T_b_c*bev*s4",[1]OUT_TransportEnergyCons!$A$4:$A$10000))*1,[1]OUT_TransportEnergyCons!E$4:E$10000))*1000</f>
        <v>3.93791536721855E-4</v>
      </c>
      <c r="H2189" s="1" cm="1">
        <f t="array" ref="H2189">(SUMPRODUCT(("var_ncap"=[1]OUT_TransportEnergyCons!$B$4:$B$10000)*1,ISNUMBER(SEARCH("T_b_c*bev*s4",[1]OUT_TransportEnergyCons!$A$4:$A$10000))*1,[1]OUT_TransportEnergyCons!F$4:F$10000))*1000</f>
        <v>3.8612513971691904E-4</v>
      </c>
      <c r="I2189" s="1" cm="1">
        <f t="array" ref="I2189">(SUMPRODUCT(("var_ncap"=[1]OUT_TransportEnergyCons!$B$4:$B$10000)*1,ISNUMBER(SEARCH("T_b_c*bev*s4",[1]OUT_TransportEnergyCons!$A$4:$A$10000))*1,[1]OUT_TransportEnergyCons!G$4:G$10000))*1000</f>
        <v>5.3055435136715003E-4</v>
      </c>
      <c r="J2189" s="1" cm="1">
        <f t="array" ref="J2189">(SUMPRODUCT(("var_ncap"=[1]OUT_TransportEnergyCons!$B$4:$B$10000)*1,ISNUMBER(SEARCH("T_b_c*bev*s4",[1]OUT_TransportEnergyCons!$A$4:$A$10000))*1,[1]OUT_TransportEnergyCons!H$4:H$10000))*1000</f>
        <v>5.4723984875367502E-4</v>
      </c>
      <c r="K2189" s="1" cm="1">
        <f t="array" ref="K2189">(SUMPRODUCT(("var_ncap"=[1]OUT_TransportEnergyCons!$B$4:$B$10000)*1,ISNUMBER(SEARCH("T_b_c*bev*s4",[1]OUT_TransportEnergyCons!$A$4:$A$10000))*1,[1]OUT_TransportEnergyCons!I$4:I$10000))*1000</f>
        <v>2.3597216042711499E-4</v>
      </c>
    </row>
    <row r="2190" spans="2:11" x14ac:dyDescent="0.35">
      <c r="B2190" s="5" t="str">
        <f t="shared" si="1311"/>
        <v>SPS3</v>
      </c>
      <c r="C2190" s="5" t="str">
        <f t="shared" si="1312"/>
        <v>CH</v>
      </c>
      <c r="D2190" t="s">
        <v>2339</v>
      </c>
      <c r="E2190" t="s">
        <v>2000</v>
      </c>
      <c r="F2190" s="1" cm="1">
        <f t="array" ref="F2190">(SUMPRODUCT(("var_ncap"=[1]OUT_TransportEnergyCons!$B$4:$B$10000)*1,ISNUMBER(SEARCH("T_b_c*h2o*s1",[1]OUT_TransportEnergyCons!$A$4:$A$10000))*1,[1]OUT_TransportEnergyCons!D$4:D$10000))*1000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(SUMPRODUCT(("var_ncap"=[1]OUT_TransportEnergyCons!$B$4:$B$10000)*1,ISNUMBER(SEARCH("T_b_c*h2o*s1",[1]OUT_TransportEnergyCons!$A$4:$A$10000))*1,[1]OUT_TransportEnergyCons!E$4:E$10000))*1000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(SUMPRODUCT(("var_ncap"=[1]OUT_TransportEnergyCons!$B$4:$B$10000)*1,ISNUMBER(SEARCH("T_b_c*h2o*s1",[1]OUT_TransportEnergyCons!$A$4:$A$10000))*1,[1]OUT_TransportEnergyCons!F$4:F$10000))*1000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(SUMPRODUCT(("var_ncap"=[1]OUT_TransportEnergyCons!$B$4:$B$10000)*1,ISNUMBER(SEARCH("T_b_c*h2o*s1",[1]OUT_TransportEnergyCons!$A$4:$A$10000))*1,[1]OUT_TransportEnergyCons!G$4:G$10000))*1000</f>
        <v>3.12375651307152E-5</v>
      </c>
      <c r="J2190" s="1" cm="1">
        <f t="array" ref="J2190">(SUMPRODUCT(("var_ncap"=[1]OUT_TransportEnergyCons!$B$4:$B$10000)*1,ISNUMBER(SEARCH("T_b_c*h2o*s1",[1]OUT_TransportEnergyCons!$A$4:$A$10000))*1,[1]OUT_TransportEnergyCons!H$4:H$10000))*1000</f>
        <v>1.9280028743818E-5</v>
      </c>
      <c r="K2190" s="1" cm="1">
        <f t="array" ref="K2190">(SUMPRODUCT(("var_ncap"=[1]OUT_TransportEnergyCons!$B$4:$B$10000)*1,ISNUMBER(SEARCH("T_b_c*h2o*s1",[1]OUT_TransportEnergyCons!$A$4:$A$10000))*1,[1]OUT_TransportEnergyCons!I$4:I$10000))*1000</f>
        <v>2.3895665947185903E-5</v>
      </c>
    </row>
    <row r="2191" spans="2:11" x14ac:dyDescent="0.35">
      <c r="B2191" s="5" t="str">
        <f t="shared" si="1311"/>
        <v>SPS3</v>
      </c>
      <c r="C2191" s="5" t="str">
        <f t="shared" si="1312"/>
        <v>CH</v>
      </c>
      <c r="D2191" t="s">
        <v>2340</v>
      </c>
      <c r="E2191" t="s">
        <v>2000</v>
      </c>
      <c r="F2191" s="1" cm="1">
        <f t="array" ref="F2191">(SUMPRODUCT(("var_ncap"=[1]OUT_TransportEnergyCons!$B$4:$B$10000)*1,ISNUMBER(SEARCH("T_b_c*h2o*s2",[1]OUT_TransportEnergyCons!$A$4:$A$10000))*1,[1]OUT_TransportEnergyCons!D$4:D$10000))*1000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(SUMPRODUCT(("var_ncap"=[1]OUT_TransportEnergyCons!$B$4:$B$10000)*1,ISNUMBER(SEARCH("T_b_c*h2o*s2",[1]OUT_TransportEnergyCons!$A$4:$A$10000))*1,[1]OUT_TransportEnergyCons!E$4:E$10000))*1000</f>
        <v>0</v>
      </c>
      <c r="H2191" s="1" cm="1">
        <f t="array" ref="H2191">(SUMPRODUCT(("var_ncap"=[1]OUT_TransportEnergyCons!$B$4:$B$10000)*1,ISNUMBER(SEARCH("T_b_c*h2o*s2",[1]OUT_TransportEnergyCons!$A$4:$A$10000))*1,[1]OUT_TransportEnergyCons!F$4:F$10000))*1000</f>
        <v>0</v>
      </c>
      <c r="I2191" s="1" cm="1">
        <f t="array" ref="I2191">(SUMPRODUCT(("var_ncap"=[1]OUT_TransportEnergyCons!$B$4:$B$10000)*1,ISNUMBER(SEARCH("T_b_c*h2o*s2",[1]OUT_TransportEnergyCons!$A$4:$A$10000))*1,[1]OUT_TransportEnergyCons!G$4:G$10000))*1000</f>
        <v>0</v>
      </c>
      <c r="J2191" s="1" cm="1">
        <f t="array" ref="J2191">(SUMPRODUCT(("var_ncap"=[1]OUT_TransportEnergyCons!$B$4:$B$10000)*1,ISNUMBER(SEARCH("T_b_c*h2o*s2",[1]OUT_TransportEnergyCons!$A$4:$A$10000))*1,[1]OUT_TransportEnergyCons!H$4:H$10000))*1000</f>
        <v>0</v>
      </c>
      <c r="K2191" s="1" cm="1">
        <f t="array" ref="K2191">(SUMPRODUCT(("var_ncap"=[1]OUT_TransportEnergyCons!$B$4:$B$10000)*1,ISNUMBER(SEARCH("T_b_c*h2o*s2",[1]OUT_TransportEnergyCons!$A$4:$A$10000))*1,[1]OUT_TransportEnergyCons!I$4:I$10000))*1000</f>
        <v>1.48472298213643E-5</v>
      </c>
    </row>
    <row r="2192" spans="2:11" x14ac:dyDescent="0.35">
      <c r="B2192" s="5" t="str">
        <f t="shared" si="1311"/>
        <v>SPS3</v>
      </c>
      <c r="C2192" s="5" t="str">
        <f t="shared" si="1312"/>
        <v>CH</v>
      </c>
      <c r="D2192" t="s">
        <v>2341</v>
      </c>
      <c r="E2192" t="s">
        <v>2000</v>
      </c>
      <c r="F2192" s="1" cm="1">
        <f t="array" ref="F2192">(SUMPRODUCT(("var_ncap"=[1]OUT_TransportEnergyCons!$B$4:$B$10000)*1,ISNUMBER(SEARCH("T_b_c*h2o*s3",[1]OUT_TransportEnergyCons!$A$4:$A$10000))*1,[1]OUT_TransportEnergyCons!D$4:D$10000))*1000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(SUMPRODUCT(("var_ncap"=[1]OUT_TransportEnergyCons!$B$4:$B$10000)*1,ISNUMBER(SEARCH("T_b_c*h2o*s3",[1]OUT_TransportEnergyCons!$A$4:$A$10000))*1,[1]OUT_TransportEnergyCons!E$4:E$10000))*1000</f>
        <v>0</v>
      </c>
      <c r="H2192" s="1" cm="1">
        <f t="array" ref="H2192">(SUMPRODUCT(("var_ncap"=[1]OUT_TransportEnergyCons!$B$4:$B$10000)*1,ISNUMBER(SEARCH("T_b_c*h2o*s3",[1]OUT_TransportEnergyCons!$A$4:$A$10000))*1,[1]OUT_TransportEnergyCons!F$4:F$10000))*1000</f>
        <v>0</v>
      </c>
      <c r="I2192" s="1" cm="1">
        <f t="array" ref="I2192">(SUMPRODUCT(("var_ncap"=[1]OUT_TransportEnergyCons!$B$4:$B$10000)*1,ISNUMBER(SEARCH("T_b_c*h2o*s3",[1]OUT_TransportEnergyCons!$A$4:$A$10000))*1,[1]OUT_TransportEnergyCons!G$4:G$10000))*1000</f>
        <v>0</v>
      </c>
      <c r="J2192" s="1" cm="1">
        <f t="array" ref="J2192">(SUMPRODUCT(("var_ncap"=[1]OUT_TransportEnergyCons!$B$4:$B$10000)*1,ISNUMBER(SEARCH("T_b_c*h2o*s3",[1]OUT_TransportEnergyCons!$A$4:$A$10000))*1,[1]OUT_TransportEnergyCons!H$4:H$10000))*1000</f>
        <v>2.3782458677010802E-5</v>
      </c>
      <c r="K2192" s="1" cm="1">
        <f t="array" ref="K2192">(SUMPRODUCT(("var_ncap"=[1]OUT_TransportEnergyCons!$B$4:$B$10000)*1,ISNUMBER(SEARCH("T_b_c*h2o*s3",[1]OUT_TransportEnergyCons!$A$4:$A$10000))*1,[1]OUT_TransportEnergyCons!I$4:I$10000))*1000</f>
        <v>2.1904754284159799E-5</v>
      </c>
    </row>
    <row r="2193" spans="2:11" x14ac:dyDescent="0.35">
      <c r="B2193" s="5" t="str">
        <f t="shared" si="1311"/>
        <v>SPS3</v>
      </c>
      <c r="C2193" s="5" t="str">
        <f t="shared" si="1312"/>
        <v>CH</v>
      </c>
      <c r="D2193" t="s">
        <v>2342</v>
      </c>
      <c r="E2193" t="s">
        <v>2000</v>
      </c>
      <c r="F2193" s="1" cm="1">
        <f t="array" ref="F2193">(SUMPRODUCT(("var_ncap"=[1]OUT_TransportEnergyCons!$B$4:$B$10000)*1,ISNUMBER(SEARCH("T_b_c*h2o*s4",[1]OUT_TransportEnergyCons!$A$4:$A$10000))*1,[1]OUT_TransportEnergyCons!D$4:D$10000))*1000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(SUMPRODUCT(("var_ncap"=[1]OUT_TransportEnergyCons!$B$4:$B$10000)*1,ISNUMBER(SEARCH("T_b_c*h2o*s4",[1]OUT_TransportEnergyCons!$A$4:$A$10000))*1,[1]OUT_TransportEnergyCons!E$4:E$10000))*1000</f>
        <v>0</v>
      </c>
      <c r="H2193" s="1" cm="1">
        <f t="array" ref="H2193">(SUMPRODUCT(("var_ncap"=[1]OUT_TransportEnergyCons!$B$4:$B$10000)*1,ISNUMBER(SEARCH("T_b_c*h2o*s4",[1]OUT_TransportEnergyCons!$A$4:$A$10000))*1,[1]OUT_TransportEnergyCons!F$4:F$10000))*1000</f>
        <v>0</v>
      </c>
      <c r="I2193" s="1" cm="1">
        <f t="array" ref="I2193">(SUMPRODUCT(("var_ncap"=[1]OUT_TransportEnergyCons!$B$4:$B$10000)*1,ISNUMBER(SEARCH("T_b_c*h2o*s4",[1]OUT_TransportEnergyCons!$A$4:$A$10000))*1,[1]OUT_TransportEnergyCons!G$4:G$10000))*1000</f>
        <v>0</v>
      </c>
      <c r="J2193" s="1" cm="1">
        <f t="array" ref="J2193">(SUMPRODUCT(("var_ncap"=[1]OUT_TransportEnergyCons!$B$4:$B$10000)*1,ISNUMBER(SEARCH("T_b_c*h2o*s4",[1]OUT_TransportEnergyCons!$A$4:$A$10000))*1,[1]OUT_TransportEnergyCons!H$4:H$10000))*1000</f>
        <v>0</v>
      </c>
      <c r="K2193" s="1" cm="1">
        <f t="array" ref="K2193">(SUMPRODUCT(("var_ncap"=[1]OUT_TransportEnergyCons!$B$4:$B$10000)*1,ISNUMBER(SEARCH("T_b_c*h2o*s4",[1]OUT_TransportEnergyCons!$A$4:$A$10000))*1,[1]OUT_TransportEnergyCons!I$4:I$10000))*1000</f>
        <v>0</v>
      </c>
    </row>
    <row r="2194" spans="2:11" x14ac:dyDescent="0.35">
      <c r="B2194" s="5" t="str">
        <f t="shared" si="1311"/>
        <v>SPS3</v>
      </c>
      <c r="C2194" s="5" t="str">
        <f t="shared" si="1312"/>
        <v>CH</v>
      </c>
      <c r="D2194" t="s">
        <v>2343</v>
      </c>
      <c r="E2194" t="s">
        <v>2000</v>
      </c>
      <c r="F2194" s="1" cm="1">
        <f t="array" ref="F2194">(SUMPRODUCT(("var_ncap"=[1]OUT_TransportEnergyCons!$B$4:$B$10000)*1,ISNUMBER(SEARCH("T_b_c*hyb*DSL*s1",[1]OUT_TransportEnergyCons!$A$4:$A$10000))*1,[1]OUT_TransportEnergyCons!D$4:D$10000))*1000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(SUMPRODUCT(("var_ncap"=[1]OUT_TransportEnergyCons!$B$4:$B$10000)*1,ISNUMBER(SEARCH("T_b_c*hyb*DSL*s1",[1]OUT_TransportEnergyCons!$A$4:$A$10000))*1,[1]OUT_TransportEnergyCons!E$4:E$10000))*1000</f>
        <v>1.5157267731124901E-2</v>
      </c>
      <c r="H2194" s="1" cm="1">
        <f t="array" ref="H2194">(SUMPRODUCT(("var_ncap"=[1]OUT_TransportEnergyCons!$B$4:$B$10000)*1,ISNUMBER(SEARCH("T_b_c*hyb*DSL*s1",[1]OUT_TransportEnergyCons!$A$4:$A$10000))*1,[1]OUT_TransportEnergyCons!F$4:F$10000))*1000</f>
        <v>2.9201939099074499E-3</v>
      </c>
      <c r="I2194" s="1" cm="1">
        <f t="array" ref="I2194">(SUMPRODUCT(("var_ncap"=[1]OUT_TransportEnergyCons!$B$4:$B$10000)*1,ISNUMBER(SEARCH("T_b_c*hyb*DSL*s1",[1]OUT_TransportEnergyCons!$A$4:$A$10000))*1,[1]OUT_TransportEnergyCons!G$4:G$10000))*1000</f>
        <v>1.9960352639280502E-3</v>
      </c>
      <c r="J2194" s="1" cm="1">
        <f t="array" ref="J2194">(SUMPRODUCT(("var_ncap"=[1]OUT_TransportEnergyCons!$B$4:$B$10000)*1,ISNUMBER(SEARCH("T_b_c*hyb*DSL*s1",[1]OUT_TransportEnergyCons!$A$4:$A$10000))*1,[1]OUT_TransportEnergyCons!H$4:H$10000))*1000</f>
        <v>0.21333135559524699</v>
      </c>
      <c r="K2194" s="1" cm="1">
        <f t="array" ref="K2194">(SUMPRODUCT(("var_ncap"=[1]OUT_TransportEnergyCons!$B$4:$B$10000)*1,ISNUMBER(SEARCH("T_b_c*hyb*DSL*s1",[1]OUT_TransportEnergyCons!$A$4:$A$10000))*1,[1]OUT_TransportEnergyCons!I$4:I$10000))*1000</f>
        <v>0.27057910881759301</v>
      </c>
    </row>
    <row r="2195" spans="2:11" x14ac:dyDescent="0.35">
      <c r="B2195" s="5" t="str">
        <f t="shared" si="1311"/>
        <v>SPS3</v>
      </c>
      <c r="C2195" s="5" t="str">
        <f t="shared" si="1312"/>
        <v>CH</v>
      </c>
      <c r="D2195" t="s">
        <v>2344</v>
      </c>
      <c r="E2195" t="s">
        <v>2000</v>
      </c>
      <c r="F2195" s="1" cm="1">
        <f t="array" ref="F2195">(SUMPRODUCT(("var_ncap"=[1]OUT_TransportEnergyCons!$B$4:$B$10000)*1,ISNUMBER(SEARCH("T_b_c*hyb*DSL*s2",[1]OUT_TransportEnergyCons!$A$4:$A$10000))*1,[1]OUT_TransportEnergyCons!D$4:D$10000))*1000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(SUMPRODUCT(("var_ncap"=[1]OUT_TransportEnergyCons!$B$4:$B$10000)*1,ISNUMBER(SEARCH("T_b_c*hyb*DSL*s2",[1]OUT_TransportEnergyCons!$A$4:$A$10000))*1,[1]OUT_TransportEnergyCons!E$4:E$10000))*1000</f>
        <v>1.8634098781258898E-3</v>
      </c>
      <c r="H2195" s="1" cm="1">
        <f t="array" ref="H2195">(SUMPRODUCT(("var_ncap"=[1]OUT_TransportEnergyCons!$B$4:$B$10000)*1,ISNUMBER(SEARCH("T_b_c*hyb*DSL*s2",[1]OUT_TransportEnergyCons!$A$4:$A$10000))*1,[1]OUT_TransportEnergyCons!F$4:F$10000))*1000</f>
        <v>5.3622008629135902E-2</v>
      </c>
      <c r="I2195" s="1" cm="1">
        <f t="array" ref="I2195">(SUMPRODUCT(("var_ncap"=[1]OUT_TransportEnergyCons!$B$4:$B$10000)*1,ISNUMBER(SEARCH("T_b_c*hyb*DSL*s2",[1]OUT_TransportEnergyCons!$A$4:$A$10000))*1,[1]OUT_TransportEnergyCons!G$4:G$10000))*1000</f>
        <v>6.60082379114987E-3</v>
      </c>
      <c r="J2195" s="1" cm="1">
        <f t="array" ref="J2195">(SUMPRODUCT(("var_ncap"=[1]OUT_TransportEnergyCons!$B$4:$B$10000)*1,ISNUMBER(SEARCH("T_b_c*hyb*DSL*s2",[1]OUT_TransportEnergyCons!$A$4:$A$10000))*1,[1]OUT_TransportEnergyCons!H$4:H$10000))*1000</f>
        <v>1.2451967594375799E-3</v>
      </c>
      <c r="K2195" s="1" cm="1">
        <f t="array" ref="K2195">(SUMPRODUCT(("var_ncap"=[1]OUT_TransportEnergyCons!$B$4:$B$10000)*1,ISNUMBER(SEARCH("T_b_c*hyb*DSL*s2",[1]OUT_TransportEnergyCons!$A$4:$A$10000))*1,[1]OUT_TransportEnergyCons!I$4:I$10000))*1000</f>
        <v>1.8105229261709799E-4</v>
      </c>
    </row>
    <row r="2196" spans="2:11" x14ac:dyDescent="0.35">
      <c r="B2196" s="5" t="str">
        <f t="shared" si="1311"/>
        <v>SPS3</v>
      </c>
      <c r="C2196" s="5" t="str">
        <f t="shared" si="1312"/>
        <v>CH</v>
      </c>
      <c r="D2196" t="s">
        <v>2345</v>
      </c>
      <c r="E2196" t="s">
        <v>2000</v>
      </c>
      <c r="F2196" s="1" cm="1">
        <f t="array" ref="F2196">(SUMPRODUCT(("var_ncap"=[1]OUT_TransportEnergyCons!$B$4:$B$10000)*1,ISNUMBER(SEARCH("T_b_c*hyb*DSL*s3",[1]OUT_TransportEnergyCons!$A$4:$A$10000))*1,[1]OUT_TransportEnergyCons!D$4:D$10000))*1000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(SUMPRODUCT(("var_ncap"=[1]OUT_TransportEnergyCons!$B$4:$B$10000)*1,ISNUMBER(SEARCH("T_b_c*hyb*DSL*s3",[1]OUT_TransportEnergyCons!$A$4:$A$10000))*1,[1]OUT_TransportEnergyCons!E$4:E$10000))*1000</f>
        <v>8.86665239064571E-4</v>
      </c>
      <c r="H2196" s="1" cm="1">
        <f t="array" ref="H2196">(SUMPRODUCT(("var_ncap"=[1]OUT_TransportEnergyCons!$B$4:$B$10000)*1,ISNUMBER(SEARCH("T_b_c*hyb*DSL*s3",[1]OUT_TransportEnergyCons!$A$4:$A$10000))*1,[1]OUT_TransportEnergyCons!F$4:F$10000))*1000</f>
        <v>1.6358746165577798E-2</v>
      </c>
      <c r="I2196" s="1" cm="1">
        <f t="array" ref="I2196">(SUMPRODUCT(("var_ncap"=[1]OUT_TransportEnergyCons!$B$4:$B$10000)*1,ISNUMBER(SEARCH("T_b_c*hyb*DSL*s3",[1]OUT_TransportEnergyCons!$A$4:$A$10000))*1,[1]OUT_TransportEnergyCons!G$4:G$10000))*1000</f>
        <v>0.24352882146516899</v>
      </c>
      <c r="J2196" s="1" cm="1">
        <f t="array" ref="J2196">(SUMPRODUCT(("var_ncap"=[1]OUT_TransportEnergyCons!$B$4:$B$10000)*1,ISNUMBER(SEARCH("T_b_c*hyb*DSL*s3",[1]OUT_TransportEnergyCons!$A$4:$A$10000))*1,[1]OUT_TransportEnergyCons!H$4:H$10000))*1000</f>
        <v>4.7293366225179402E-4</v>
      </c>
      <c r="K2196" s="1" cm="1">
        <f t="array" ref="K2196">(SUMPRODUCT(("var_ncap"=[1]OUT_TransportEnergyCons!$B$4:$B$10000)*1,ISNUMBER(SEARCH("T_b_c*hyb*DSL*s3",[1]OUT_TransportEnergyCons!$A$4:$A$10000))*1,[1]OUT_TransportEnergyCons!I$4:I$10000))*1000</f>
        <v>6.6484996461530594E-5</v>
      </c>
    </row>
    <row r="2197" spans="2:11" x14ac:dyDescent="0.35">
      <c r="B2197" s="5" t="str">
        <f t="shared" si="1311"/>
        <v>SPS3</v>
      </c>
      <c r="C2197" s="5" t="str">
        <f t="shared" si="1312"/>
        <v>CH</v>
      </c>
      <c r="D2197" t="s">
        <v>2346</v>
      </c>
      <c r="E2197" t="s">
        <v>2000</v>
      </c>
      <c r="F2197" s="1" cm="1">
        <f t="array" ref="F2197">(SUMPRODUCT(("var_ncap"=[1]OUT_TransportEnergyCons!$B$4:$B$10000)*1,ISNUMBER(SEARCH("T_b_c*hyb*DSL*s4",[1]OUT_TransportEnergyCons!$A$4:$A$10000))*1,[1]OUT_TransportEnergyCons!D$4:D$10000))*1000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(SUMPRODUCT(("var_ncap"=[1]OUT_TransportEnergyCons!$B$4:$B$10000)*1,ISNUMBER(SEARCH("T_b_c*hyb*DSL*s4",[1]OUT_TransportEnergyCons!$A$4:$A$10000))*1,[1]OUT_TransportEnergyCons!E$4:E$10000))*1000</f>
        <v>1.4361854256461298E-4</v>
      </c>
      <c r="H2197" s="1" cm="1">
        <f t="array" ref="H2197">(SUMPRODUCT(("var_ncap"=[1]OUT_TransportEnergyCons!$B$4:$B$10000)*1,ISNUMBER(SEARCH("T_b_c*hyb*DSL*s4",[1]OUT_TransportEnergyCons!$A$4:$A$10000))*1,[1]OUT_TransportEnergyCons!F$4:F$10000))*1000</f>
        <v>1.13463850864942E-4</v>
      </c>
      <c r="I2197" s="1" cm="1">
        <f t="array" ref="I2197">(SUMPRODUCT(("var_ncap"=[1]OUT_TransportEnergyCons!$B$4:$B$10000)*1,ISNUMBER(SEARCH("T_b_c*hyb*DSL*s4",[1]OUT_TransportEnergyCons!$A$4:$A$10000))*1,[1]OUT_TransportEnergyCons!G$4:G$10000))*1000</f>
        <v>9.4093363278126001E-5</v>
      </c>
      <c r="J2197" s="1" cm="1">
        <f t="array" ref="J2197">(SUMPRODUCT(("var_ncap"=[1]OUT_TransportEnergyCons!$B$4:$B$10000)*1,ISNUMBER(SEARCH("T_b_c*hyb*DSL*s4",[1]OUT_TransportEnergyCons!$A$4:$A$10000))*1,[1]OUT_TransportEnergyCons!H$4:H$10000))*1000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(SUMPRODUCT(("var_ncap"=[1]OUT_TransportEnergyCons!$B$4:$B$10000)*1,ISNUMBER(SEARCH("T_b_c*hyb*DSL*s4",[1]OUT_TransportEnergyCons!$A$4:$A$10000))*1,[1]OUT_TransportEnergyCons!I$4:I$10000))*1000</f>
        <v>0</v>
      </c>
    </row>
    <row r="2198" spans="2:11" x14ac:dyDescent="0.35">
      <c r="B2198" s="5" t="str">
        <f t="shared" si="1311"/>
        <v>SPS3</v>
      </c>
      <c r="C2198" s="5" t="str">
        <f t="shared" si="1312"/>
        <v>CH</v>
      </c>
      <c r="D2198" t="s">
        <v>2347</v>
      </c>
      <c r="E2198" t="s">
        <v>2000</v>
      </c>
      <c r="F2198" s="1" cm="1">
        <f t="array" ref="F2198">(SUMPRODUCT(("var_ncap"=[1]OUT_TransportEnergyCons!$B$4:$B$10000)*1,ISNUMBER(SEARCH("T_b_c*ICE*DSL*ext",[1]OUT_TransportEnergyCons!$A$4:$A$10000))*1,[1]OUT_TransportEnergyCons!D$4:D$10000))*1000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(SUMPRODUCT(("var_ncap"=[1]OUT_TransportEnergyCons!$B$4:$B$10000)*1,ISNUMBER(SEARCH("T_b_c*ICE*DSL*ext",[1]OUT_TransportEnergyCons!$A$4:$A$10000))*1,[1]OUT_TransportEnergyCons!E$4:E$10000))*1000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(SUMPRODUCT(("var_ncap"=[1]OUT_TransportEnergyCons!$B$4:$B$10000)*1,ISNUMBER(SEARCH("T_b_c*ICE*DSL*ext",[1]OUT_TransportEnergyCons!$A$4:$A$10000))*1,[1]OUT_TransportEnergyCons!F$4:F$10000))*1000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(SUMPRODUCT(("var_ncap"=[1]OUT_TransportEnergyCons!$B$4:$B$10000)*1,ISNUMBER(SEARCH("T_b_c*ICE*DSL*ext",[1]OUT_TransportEnergyCons!$A$4:$A$10000))*1,[1]OUT_TransportEnergyCons!G$4:G$10000))*1000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(SUMPRODUCT(("var_ncap"=[1]OUT_TransportEnergyCons!$B$4:$B$10000)*1,ISNUMBER(SEARCH("T_b_c*ICE*DSL*ext",[1]OUT_TransportEnergyCons!$A$4:$A$10000))*1,[1]OUT_TransportEnergyCons!H$4:H$10000))*1000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(SUMPRODUCT(("var_ncap"=[1]OUT_TransportEnergyCons!$B$4:$B$10000)*1,ISNUMBER(SEARCH("T_b_c*ICE*DSL*ext",[1]OUT_TransportEnergyCons!$A$4:$A$10000))*1,[1]OUT_TransportEnergyCons!I$4:I$10000))*1000</f>
        <v>0</v>
      </c>
    </row>
    <row r="2199" spans="2:11" x14ac:dyDescent="0.35">
      <c r="B2199" s="5" t="str">
        <f t="shared" si="1311"/>
        <v>SPS3</v>
      </c>
      <c r="C2199" s="5" t="str">
        <f t="shared" si="1312"/>
        <v>CH</v>
      </c>
      <c r="D2199" t="s">
        <v>2348</v>
      </c>
      <c r="E2199" t="s">
        <v>2000</v>
      </c>
      <c r="F2199" s="1" cm="1">
        <f t="array" ref="F2199">(SUMPRODUCT(("var_ncap"=[1]OUT_TransportEnergyCons!$B$4:$B$10000)*1,ISNUMBER(SEARCH("T_b_c*ICE*DSL*s1",[1]OUT_TransportEnergyCons!$A$4:$A$10000))*1,[1]OUT_TransportEnergyCons!D$4:D$10000))*1000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(SUMPRODUCT(("var_ncap"=[1]OUT_TransportEnergyCons!$B$4:$B$10000)*1,ISNUMBER(SEARCH("T_b_c*ICE*DSL*s1",[1]OUT_TransportEnergyCons!$A$4:$A$10000))*1,[1]OUT_TransportEnergyCons!E$4:E$10000))*1000</f>
        <v>0.48625627090748702</v>
      </c>
      <c r="H2199" s="1" cm="1">
        <f t="array" ref="H2199">(SUMPRODUCT(("var_ncap"=[1]OUT_TransportEnergyCons!$B$4:$B$10000)*1,ISNUMBER(SEARCH("T_b_c*ICE*DSL*s1",[1]OUT_TransportEnergyCons!$A$4:$A$10000))*1,[1]OUT_TransportEnergyCons!F$4:F$10000))*1000</f>
        <v>0.19405320611651899</v>
      </c>
      <c r="I2199" s="1" cm="1">
        <f t="array" ref="I2199">(SUMPRODUCT(("var_ncap"=[1]OUT_TransportEnergyCons!$B$4:$B$10000)*1,ISNUMBER(SEARCH("T_b_c*ICE*DSL*s1",[1]OUT_TransportEnergyCons!$A$4:$A$10000))*1,[1]OUT_TransportEnergyCons!G$4:G$10000))*1000</f>
        <v>0</v>
      </c>
      <c r="J2199" s="1" cm="1">
        <f t="array" ref="J2199">(SUMPRODUCT(("var_ncap"=[1]OUT_TransportEnergyCons!$B$4:$B$10000)*1,ISNUMBER(SEARCH("T_b_c*ICE*DSL*s1",[1]OUT_TransportEnergyCons!$A$4:$A$10000))*1,[1]OUT_TransportEnergyCons!H$4:H$10000))*1000</f>
        <v>3.9057716583737995E-5</v>
      </c>
      <c r="K2199" s="1" cm="1">
        <f t="array" ref="K2199">(SUMPRODUCT(("var_ncap"=[1]OUT_TransportEnergyCons!$B$4:$B$10000)*1,ISNUMBER(SEARCH("T_b_c*ICE*DSL*s1",[1]OUT_TransportEnergyCons!$A$4:$A$10000))*1,[1]OUT_TransportEnergyCons!I$4:I$10000))*1000</f>
        <v>4.3807126058670503E-5</v>
      </c>
    </row>
    <row r="2200" spans="2:11" x14ac:dyDescent="0.35">
      <c r="B2200" s="5" t="str">
        <f t="shared" si="1311"/>
        <v>SPS3</v>
      </c>
      <c r="C2200" s="5" t="str">
        <f t="shared" si="1312"/>
        <v>CH</v>
      </c>
      <c r="D2200" t="s">
        <v>2349</v>
      </c>
      <c r="E2200" t="s">
        <v>2000</v>
      </c>
      <c r="F2200" s="1" cm="1">
        <f t="array" ref="F2200">(SUMPRODUCT(("var_ncap"=[1]OUT_TransportEnergyCons!$B$4:$B$10000)*1,ISNUMBER(SEARCH("T_b_c*ICE*DSL*s2",[1]OUT_TransportEnergyCons!$A$4:$A$10000))*1,[1]OUT_TransportEnergyCons!D$4:D$10000))*1000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(SUMPRODUCT(("var_ncap"=[1]OUT_TransportEnergyCons!$B$4:$B$10000)*1,ISNUMBER(SEARCH("T_b_c*ICE*DSL*s2",[1]OUT_TransportEnergyCons!$A$4:$A$10000))*1,[1]OUT_TransportEnergyCons!E$4:E$10000))*1000</f>
        <v>1.6133477495626201E-3</v>
      </c>
      <c r="H2200" s="1" cm="1">
        <f t="array" ref="H2200">(SUMPRODUCT(("var_ncap"=[1]OUT_TransportEnergyCons!$B$4:$B$10000)*1,ISNUMBER(SEARCH("T_b_c*ICE*DSL*s2",[1]OUT_TransportEnergyCons!$A$4:$A$10000))*1,[1]OUT_TransportEnergyCons!F$4:F$10000))*1000</f>
        <v>3.9456911329325403E-3</v>
      </c>
      <c r="I2200" s="1" cm="1">
        <f t="array" ref="I2200">(SUMPRODUCT(("var_ncap"=[1]OUT_TransportEnergyCons!$B$4:$B$10000)*1,ISNUMBER(SEARCH("T_b_c*ICE*DSL*s2",[1]OUT_TransportEnergyCons!$A$4:$A$10000))*1,[1]OUT_TransportEnergyCons!G$4:G$10000))*1000</f>
        <v>0</v>
      </c>
      <c r="J2200" s="1" cm="1">
        <f t="array" ref="J2200">(SUMPRODUCT(("var_ncap"=[1]OUT_TransportEnergyCons!$B$4:$B$10000)*1,ISNUMBER(SEARCH("T_b_c*ICE*DSL*s2",[1]OUT_TransportEnergyCons!$A$4:$A$10000))*1,[1]OUT_TransportEnergyCons!H$4:H$10000))*1000</f>
        <v>2.10019565345953E-5</v>
      </c>
      <c r="K2200" s="1" cm="1">
        <f t="array" ref="K2200">(SUMPRODUCT(("var_ncap"=[1]OUT_TransportEnergyCons!$B$4:$B$10000)*1,ISNUMBER(SEARCH("T_b_c*ICE*DSL*s2",[1]OUT_TransportEnergyCons!$A$4:$A$10000))*1,[1]OUT_TransportEnergyCons!I$4:I$10000))*1000</f>
        <v>1.9300363420996399E-5</v>
      </c>
    </row>
    <row r="2201" spans="2:11" x14ac:dyDescent="0.35">
      <c r="B2201" s="5" t="str">
        <f t="shared" si="1311"/>
        <v>SPS3</v>
      </c>
      <c r="C2201" s="5" t="str">
        <f t="shared" si="1312"/>
        <v>CH</v>
      </c>
      <c r="D2201" t="s">
        <v>2350</v>
      </c>
      <c r="E2201" t="s">
        <v>2000</v>
      </c>
      <c r="F2201" s="1" cm="1">
        <f t="array" ref="F2201">(SUMPRODUCT(("var_ncap"=[1]OUT_TransportEnergyCons!$B$4:$B$10000)*1,ISNUMBER(SEARCH("T_b_c*ICE*DSL*s3",[1]OUT_TransportEnergyCons!$A$4:$A$10000))*1,[1]OUT_TransportEnergyCons!D$4:D$10000))*1000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(SUMPRODUCT(("var_ncap"=[1]OUT_TransportEnergyCons!$B$4:$B$10000)*1,ISNUMBER(SEARCH("T_b_c*ICE*DSL*s3",[1]OUT_TransportEnergyCons!$A$4:$A$10000))*1,[1]OUT_TransportEnergyCons!E$4:E$10000))*1000</f>
        <v>6.4390726072379204E-4</v>
      </c>
      <c r="H2201" s="1" cm="1">
        <f t="array" ref="H2201">(SUMPRODUCT(("var_ncap"=[1]OUT_TransportEnergyCons!$B$4:$B$10000)*1,ISNUMBER(SEARCH("T_b_c*ICE*DSL*s3",[1]OUT_TransportEnergyCons!$A$4:$A$10000))*1,[1]OUT_TransportEnergyCons!F$4:F$10000))*1000</f>
        <v>7.0971235369619498E-4</v>
      </c>
      <c r="I2201" s="1" cm="1">
        <f t="array" ref="I2201">(SUMPRODUCT(("var_ncap"=[1]OUT_TransportEnergyCons!$B$4:$B$10000)*1,ISNUMBER(SEARCH("T_b_c*ICE*DSL*s3",[1]OUT_TransportEnergyCons!$A$4:$A$10000))*1,[1]OUT_TransportEnergyCons!G$4:G$10000))*1000</f>
        <v>0</v>
      </c>
      <c r="J2201" s="1" cm="1">
        <f t="array" ref="J2201">(SUMPRODUCT(("var_ncap"=[1]OUT_TransportEnergyCons!$B$4:$B$10000)*1,ISNUMBER(SEARCH("T_b_c*ICE*DSL*s3",[1]OUT_TransportEnergyCons!$A$4:$A$10000))*1,[1]OUT_TransportEnergyCons!H$4:H$10000))*1000</f>
        <v>3.5745689496486799E-5</v>
      </c>
      <c r="K2201" s="1" cm="1">
        <f t="array" ref="K2201">(SUMPRODUCT(("var_ncap"=[1]OUT_TransportEnergyCons!$B$4:$B$10000)*1,ISNUMBER(SEARCH("T_b_c*ICE*DSL*s3",[1]OUT_TransportEnergyCons!$A$4:$A$10000))*1,[1]OUT_TransportEnergyCons!I$4:I$10000))*1000</f>
        <v>1.59790173218593E-5</v>
      </c>
    </row>
    <row r="2202" spans="2:11" x14ac:dyDescent="0.35">
      <c r="B2202" s="5" t="str">
        <f t="shared" si="1311"/>
        <v>SPS3</v>
      </c>
      <c r="C2202" s="5" t="str">
        <f t="shared" si="1312"/>
        <v>CH</v>
      </c>
      <c r="D2202" t="s">
        <v>2351</v>
      </c>
      <c r="E2202" t="s">
        <v>2000</v>
      </c>
      <c r="F2202" s="1" cm="1">
        <f t="array" ref="F2202">(SUMPRODUCT(("var_ncap"=[1]OUT_TransportEnergyCons!$B$4:$B$10000)*1,ISNUMBER(SEARCH("T_b_c*ICE*DSL*s4",[1]OUT_TransportEnergyCons!$A$4:$A$10000))*1,[1]OUT_TransportEnergyCons!D$4:D$10000))*1000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(SUMPRODUCT(("var_ncap"=[1]OUT_TransportEnergyCons!$B$4:$B$10000)*1,ISNUMBER(SEARCH("T_b_c*ICE*DSL*s4",[1]OUT_TransportEnergyCons!$A$4:$A$10000))*1,[1]OUT_TransportEnergyCons!E$4:E$10000))*1000</f>
        <v>1.1582006743657599E-4</v>
      </c>
      <c r="H2202" s="1" cm="1">
        <f t="array" ref="H2202">(SUMPRODUCT(("var_ncap"=[1]OUT_TransportEnergyCons!$B$4:$B$10000)*1,ISNUMBER(SEARCH("T_b_c*ICE*DSL*s4",[1]OUT_TransportEnergyCons!$A$4:$A$10000))*1,[1]OUT_TransportEnergyCons!F$4:F$10000))*1000</f>
        <v>9.9897095634365603E-5</v>
      </c>
      <c r="I2202" s="1" cm="1">
        <f t="array" ref="I2202">(SUMPRODUCT(("var_ncap"=[1]OUT_TransportEnergyCons!$B$4:$B$10000)*1,ISNUMBER(SEARCH("T_b_c*ICE*DSL*s4",[1]OUT_TransportEnergyCons!$A$4:$A$10000))*1,[1]OUT_TransportEnergyCons!G$4:G$10000))*1000</f>
        <v>0</v>
      </c>
      <c r="J2202" s="1" cm="1">
        <f t="array" ref="J2202">(SUMPRODUCT(("var_ncap"=[1]OUT_TransportEnergyCons!$B$4:$B$10000)*1,ISNUMBER(SEARCH("T_b_c*ICE*DSL*s4",[1]OUT_TransportEnergyCons!$A$4:$A$10000))*1,[1]OUT_TransportEnergyCons!H$4:H$10000))*1000</f>
        <v>0</v>
      </c>
      <c r="K2202" s="1" cm="1">
        <f t="array" ref="K2202">(SUMPRODUCT(("var_ncap"=[1]OUT_TransportEnergyCons!$B$4:$B$10000)*1,ISNUMBER(SEARCH("T_b_c*ICE*DSL*s4",[1]OUT_TransportEnergyCons!$A$4:$A$10000))*1,[1]OUT_TransportEnergyCons!I$4:I$10000))*1000</f>
        <v>0</v>
      </c>
    </row>
    <row r="2203" spans="2:11" x14ac:dyDescent="0.35">
      <c r="B2203" s="5" t="str">
        <f t="shared" si="1311"/>
        <v>SPS3</v>
      </c>
      <c r="C2203" s="5" t="str">
        <f t="shared" si="1312"/>
        <v>CH</v>
      </c>
      <c r="D2203" t="s">
        <v>2352</v>
      </c>
      <c r="E2203" t="s">
        <v>2000</v>
      </c>
      <c r="F2203" s="1" cm="1">
        <f t="array" ref="F2203">(SUMPRODUCT(("var_ncap"=[1]OUT_TransportEnergyCons!$B$4:$B$10000)*1,ISNUMBER(SEARCH("T_b_c*ICE*nga*ext",[1]OUT_TransportEnergyCons!$A$4:$A$10000))*1,[1]OUT_TransportEnergyCons!D$4:D$10000))*1000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(SUMPRODUCT(("var_ncap"=[1]OUT_TransportEnergyCons!$B$4:$B$10000)*1,ISNUMBER(SEARCH("T_b_c*ICE*nga*ext",[1]OUT_TransportEnergyCons!$A$4:$A$10000))*1,[1]OUT_TransportEnergyCons!E$4:E$10000))*1000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(SUMPRODUCT(("var_ncap"=[1]OUT_TransportEnergyCons!$B$4:$B$10000)*1,ISNUMBER(SEARCH("T_b_c*ICE*nga*ext",[1]OUT_TransportEnergyCons!$A$4:$A$10000))*1,[1]OUT_TransportEnergyCons!F$4:F$10000))*1000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(SUMPRODUCT(("var_ncap"=[1]OUT_TransportEnergyCons!$B$4:$B$10000)*1,ISNUMBER(SEARCH("T_b_c*ICE*nga*ext",[1]OUT_TransportEnergyCons!$A$4:$A$10000))*1,[1]OUT_TransportEnergyCons!G$4:G$10000))*1000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(SUMPRODUCT(("var_ncap"=[1]OUT_TransportEnergyCons!$B$4:$B$10000)*1,ISNUMBER(SEARCH("T_b_c*ICE*nga*ext",[1]OUT_TransportEnergyCons!$A$4:$A$10000))*1,[1]OUT_TransportEnergyCons!H$4:H$10000))*1000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(SUMPRODUCT(("var_ncap"=[1]OUT_TransportEnergyCons!$B$4:$B$10000)*1,ISNUMBER(SEARCH("T_b_c*ICE*nga*ext",[1]OUT_TransportEnergyCons!$A$4:$A$10000))*1,[1]OUT_TransportEnergyCons!I$4:I$10000))*1000</f>
        <v>0</v>
      </c>
    </row>
    <row r="2204" spans="2:11" x14ac:dyDescent="0.35">
      <c r="B2204" s="5" t="str">
        <f t="shared" si="1311"/>
        <v>SPS3</v>
      </c>
      <c r="C2204" s="5" t="str">
        <f t="shared" si="1312"/>
        <v>CH</v>
      </c>
      <c r="D2204" t="s">
        <v>2353</v>
      </c>
      <c r="E2204" t="s">
        <v>2000</v>
      </c>
      <c r="F2204" s="1" cm="1">
        <f t="array" ref="F2204">(SUMPRODUCT(("var_ncap"=[1]OUT_TransportEnergyCons!$B$4:$B$10000)*1,ISNUMBER(SEARCH("T_b_c*ICE*nga*s1",[1]OUT_TransportEnergyCons!$A$4:$A$10000))*1,[1]OUT_TransportEnergyCons!D$4:D$10000))*1000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(SUMPRODUCT(("var_ncap"=[1]OUT_TransportEnergyCons!$B$4:$B$10000)*1,ISNUMBER(SEARCH("T_b_c*ICE*nga*s1",[1]OUT_TransportEnergyCons!$A$4:$A$10000))*1,[1]OUT_TransportEnergyCons!E$4:E$10000))*1000</f>
        <v>2.7927260967300897E-4</v>
      </c>
      <c r="H2204" s="1" cm="1">
        <f t="array" ref="H2204">(SUMPRODUCT(("var_ncap"=[1]OUT_TransportEnergyCons!$B$4:$B$10000)*1,ISNUMBER(SEARCH("T_b_c*ICE*nga*s1",[1]OUT_TransportEnergyCons!$A$4:$A$10000))*1,[1]OUT_TransportEnergyCons!F$4:F$10000))*1000</f>
        <v>1.95872082291781E-3</v>
      </c>
      <c r="I2204" s="1" cm="1">
        <f t="array" ref="I2204">(SUMPRODUCT(("var_ncap"=[1]OUT_TransportEnergyCons!$B$4:$B$10000)*1,ISNUMBER(SEARCH("T_b_c*ICE*nga*s1",[1]OUT_TransportEnergyCons!$A$4:$A$10000))*1,[1]OUT_TransportEnergyCons!G$4:G$10000))*1000</f>
        <v>1.26497805775979E-5</v>
      </c>
      <c r="J2204" s="1" cm="1">
        <f t="array" ref="J2204">(SUMPRODUCT(("var_ncap"=[1]OUT_TransportEnergyCons!$B$4:$B$10000)*1,ISNUMBER(SEARCH("T_b_c*ICE*nga*s1",[1]OUT_TransportEnergyCons!$A$4:$A$10000))*1,[1]OUT_TransportEnergyCons!H$4:H$10000))*1000</f>
        <v>3.7860557895198301E-5</v>
      </c>
      <c r="K2204" s="1" cm="1">
        <f t="array" ref="K2204">(SUMPRODUCT(("var_ncap"=[1]OUT_TransportEnergyCons!$B$4:$B$10000)*1,ISNUMBER(SEARCH("T_b_c*ICE*nga*s1",[1]OUT_TransportEnergyCons!$A$4:$A$10000))*1,[1]OUT_TransportEnergyCons!I$4:I$10000))*1000</f>
        <v>3.8228149779740897E-5</v>
      </c>
    </row>
    <row r="2205" spans="2:11" x14ac:dyDescent="0.35">
      <c r="B2205" s="5" t="str">
        <f t="shared" si="1311"/>
        <v>SPS3</v>
      </c>
      <c r="C2205" s="5" t="str">
        <f t="shared" si="1312"/>
        <v>CH</v>
      </c>
      <c r="D2205" t="s">
        <v>2354</v>
      </c>
      <c r="E2205" t="s">
        <v>2000</v>
      </c>
      <c r="F2205" s="1" cm="1">
        <f t="array" ref="F2205">(SUMPRODUCT(("var_ncap"=[1]OUT_TransportEnergyCons!$B$4:$B$10000)*1,ISNUMBER(SEARCH("T_b_c*ICE*nga*s2",[1]OUT_TransportEnergyCons!$A$4:$A$10000))*1,[1]OUT_TransportEnergyCons!D$4:D$10000))*1000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(SUMPRODUCT(("var_ncap"=[1]OUT_TransportEnergyCons!$B$4:$B$10000)*1,ISNUMBER(SEARCH("T_b_c*ICE*nga*s2",[1]OUT_TransportEnergyCons!$A$4:$A$10000))*1,[1]OUT_TransportEnergyCons!E$4:E$10000))*1000</f>
        <v>1.3781659023086301E-4</v>
      </c>
      <c r="H2205" s="1" cm="1">
        <f t="array" ref="H2205">(SUMPRODUCT(("var_ncap"=[1]OUT_TransportEnergyCons!$B$4:$B$10000)*1,ISNUMBER(SEARCH("T_b_c*ICE*nga*s2",[1]OUT_TransportEnergyCons!$A$4:$A$10000))*1,[1]OUT_TransportEnergyCons!F$4:F$10000))*1000</f>
        <v>1.58381098461345E-3</v>
      </c>
      <c r="I2205" s="1" cm="1">
        <f t="array" ref="I2205">(SUMPRODUCT(("var_ncap"=[1]OUT_TransportEnergyCons!$B$4:$B$10000)*1,ISNUMBER(SEARCH("T_b_c*ICE*nga*s2",[1]OUT_TransportEnergyCons!$A$4:$A$10000))*1,[1]OUT_TransportEnergyCons!G$4:G$10000))*1000</f>
        <v>1.0199607484119801E-5</v>
      </c>
      <c r="J2205" s="1" cm="1">
        <f t="array" ref="J2205">(SUMPRODUCT(("var_ncap"=[1]OUT_TransportEnergyCons!$B$4:$B$10000)*1,ISNUMBER(SEARCH("T_b_c*ICE*nga*s2",[1]OUT_TransportEnergyCons!$A$4:$A$10000))*1,[1]OUT_TransportEnergyCons!H$4:H$10000))*1000</f>
        <v>1.9852713173001698E-5</v>
      </c>
      <c r="K2205" s="1" cm="1">
        <f t="array" ref="K2205">(SUMPRODUCT(("var_ncap"=[1]OUT_TransportEnergyCons!$B$4:$B$10000)*1,ISNUMBER(SEARCH("T_b_c*ICE*nga*s2",[1]OUT_TransportEnergyCons!$A$4:$A$10000))*1,[1]OUT_TransportEnergyCons!I$4:I$10000))*1000</f>
        <v>1.8387386233684801E-5</v>
      </c>
    </row>
    <row r="2206" spans="2:11" x14ac:dyDescent="0.35">
      <c r="B2206" s="5" t="str">
        <f t="shared" si="1311"/>
        <v>SPS3</v>
      </c>
      <c r="C2206" s="5" t="str">
        <f t="shared" si="1312"/>
        <v>CH</v>
      </c>
      <c r="D2206" t="s">
        <v>2355</v>
      </c>
      <c r="E2206" t="s">
        <v>2000</v>
      </c>
      <c r="F2206" s="1" cm="1">
        <f t="array" ref="F2206">(SUMPRODUCT(("var_ncap"=[1]OUT_TransportEnergyCons!$B$4:$B$10000)*1,ISNUMBER(SEARCH("T_b_c*ICE*nga*s3",[1]OUT_TransportEnergyCons!$A$4:$A$10000))*1,[1]OUT_TransportEnergyCons!D$4:D$10000))*1000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(SUMPRODUCT(("var_ncap"=[1]OUT_TransportEnergyCons!$B$4:$B$10000)*1,ISNUMBER(SEARCH("T_b_c*ICE*nga*s3",[1]OUT_TransportEnergyCons!$A$4:$A$10000))*1,[1]OUT_TransportEnergyCons!E$4:E$10000))*1000</f>
        <v>9.321656797682319E-5</v>
      </c>
      <c r="H2206" s="1" cm="1">
        <f t="array" ref="H2206">(SUMPRODUCT(("var_ncap"=[1]OUT_TransportEnergyCons!$B$4:$B$10000)*1,ISNUMBER(SEARCH("T_b_c*ICE*nga*s3",[1]OUT_TransportEnergyCons!$A$4:$A$10000))*1,[1]OUT_TransportEnergyCons!F$4:F$10000))*1000</f>
        <v>5.9454200879259609E-4</v>
      </c>
      <c r="I2206" s="1" cm="1">
        <f t="array" ref="I2206">(SUMPRODUCT(("var_ncap"=[1]OUT_TransportEnergyCons!$B$4:$B$10000)*1,ISNUMBER(SEARCH("T_b_c*ICE*nga*s3",[1]OUT_TransportEnergyCons!$A$4:$A$10000))*1,[1]OUT_TransportEnergyCons!G$4:G$10000))*1000</f>
        <v>1.59772333395758E-5</v>
      </c>
      <c r="J2206" s="1" cm="1">
        <f t="array" ref="J2206">(SUMPRODUCT(("var_ncap"=[1]OUT_TransportEnergyCons!$B$4:$B$10000)*1,ISNUMBER(SEARCH("T_b_c*ICE*nga*s3",[1]OUT_TransportEnergyCons!$A$4:$A$10000))*1,[1]OUT_TransportEnergyCons!H$4:H$10000))*1000</f>
        <v>3.88781227623761E-5</v>
      </c>
      <c r="K2206" s="1" cm="1">
        <f t="array" ref="K2206">(SUMPRODUCT(("var_ncap"=[1]OUT_TransportEnergyCons!$B$4:$B$10000)*1,ISNUMBER(SEARCH("T_b_c*ICE*nga*s3",[1]OUT_TransportEnergyCons!$A$4:$A$10000))*1,[1]OUT_TransportEnergyCons!I$4:I$10000))*1000</f>
        <v>1.9282573570590799E-5</v>
      </c>
    </row>
    <row r="2207" spans="2:11" x14ac:dyDescent="0.35">
      <c r="B2207" s="5" t="str">
        <f t="shared" si="1311"/>
        <v>SPS3</v>
      </c>
      <c r="C2207" s="5" t="str">
        <f t="shared" si="1312"/>
        <v>CH</v>
      </c>
      <c r="D2207" t="s">
        <v>2356</v>
      </c>
      <c r="E2207" t="s">
        <v>2000</v>
      </c>
      <c r="F2207" s="1" cm="1">
        <f t="array" ref="F2207">(SUMPRODUCT(("var_ncap"=[1]OUT_TransportEnergyCons!$B$4:$B$10000)*1,ISNUMBER(SEARCH("T_b_c*ICE*nga*s4",[1]OUT_TransportEnergyCons!$A$4:$A$10000))*1,[1]OUT_TransportEnergyCons!D$4:D$10000))*1000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(SUMPRODUCT(("var_ncap"=[1]OUT_TransportEnergyCons!$B$4:$B$10000)*1,ISNUMBER(SEARCH("T_b_c*ICE*nga*s4",[1]OUT_TransportEnergyCons!$A$4:$A$10000))*1,[1]OUT_TransportEnergyCons!E$4:E$10000))*1000</f>
        <v>2.0750741468734399E-5</v>
      </c>
      <c r="H2207" s="1" cm="1">
        <f t="array" ref="H2207">(SUMPRODUCT(("var_ncap"=[1]OUT_TransportEnergyCons!$B$4:$B$10000)*1,ISNUMBER(SEARCH("T_b_c*ICE*nga*s4",[1]OUT_TransportEnergyCons!$A$4:$A$10000))*1,[1]OUT_TransportEnergyCons!F$4:F$10000))*1000</f>
        <v>6.6751214010032906E-5</v>
      </c>
      <c r="I2207" s="1" cm="1">
        <f t="array" ref="I2207">(SUMPRODUCT(("var_ncap"=[1]OUT_TransportEnergyCons!$B$4:$B$10000)*1,ISNUMBER(SEARCH("T_b_c*ICE*nga*s4",[1]OUT_TransportEnergyCons!$A$4:$A$10000))*1,[1]OUT_TransportEnergyCons!G$4:G$10000))*1000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(SUMPRODUCT(("var_ncap"=[1]OUT_TransportEnergyCons!$B$4:$B$10000)*1,ISNUMBER(SEARCH("T_b_c*ICE*nga*s4",[1]OUT_TransportEnergyCons!$A$4:$A$10000))*1,[1]OUT_TransportEnergyCons!H$4:H$10000))*1000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(SUMPRODUCT(("var_ncap"=[1]OUT_TransportEnergyCons!$B$4:$B$10000)*1,ISNUMBER(SEARCH("T_b_c*ICE*nga*s4",[1]OUT_TransportEnergyCons!$A$4:$A$10000))*1,[1]OUT_TransportEnergyCons!I$4:I$10000))*1000</f>
        <v>0</v>
      </c>
    </row>
    <row r="2208" spans="2:11" x14ac:dyDescent="0.35">
      <c r="B2208" s="5" t="str">
        <f t="shared" si="1311"/>
        <v>SPS3</v>
      </c>
      <c r="C2208" s="5" t="str">
        <f t="shared" si="1312"/>
        <v>CH</v>
      </c>
      <c r="D2208" s="2" t="s">
        <v>2188</v>
      </c>
      <c r="E2208" s="2" t="s">
        <v>2000</v>
      </c>
      <c r="F2208" s="3">
        <f t="shared" ref="F2208:K2208" si="1314">SUM(F2209:F2217)</f>
        <v>3.8896223181147698E-5</v>
      </c>
      <c r="G2208" s="3">
        <f t="shared" si="1314"/>
        <v>15.723584642195366</v>
      </c>
      <c r="H2208" s="3">
        <f t="shared" si="1314"/>
        <v>62.839867580038657</v>
      </c>
      <c r="I2208" s="3">
        <f t="shared" si="1314"/>
        <v>169.07625079733674</v>
      </c>
      <c r="J2208" s="3">
        <f t="shared" si="1314"/>
        <v>195.27049455387169</v>
      </c>
      <c r="K2208" s="3">
        <f t="shared" si="1314"/>
        <v>367.47462567625928</v>
      </c>
    </row>
    <row r="2209" spans="2:11" x14ac:dyDescent="0.35">
      <c r="B2209" s="5" t="str">
        <f t="shared" si="1311"/>
        <v>SPS3</v>
      </c>
      <c r="C2209" s="5" t="str">
        <f t="shared" si="1312"/>
        <v>CH</v>
      </c>
      <c r="D2209" t="s">
        <v>2357</v>
      </c>
      <c r="E2209" t="s">
        <v>2000</v>
      </c>
      <c r="F2209" s="1" cm="1">
        <f t="array" ref="F2209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09" s="1" cm="1">
        <f t="array" ref="G2209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09" s="1" cm="1">
        <f t="array" ref="H2209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09" s="1" cm="1">
        <f t="array" ref="I2209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09" s="1" cm="1">
        <f t="array" ref="J2209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09" s="1" cm="1">
        <f t="array" ref="K2209">(SUMPRODUCT(("var_ncap"=[1]OUT_TransportEnergyCons!$B$4:$B$10000)*1,("-"=[1]OUT_TransportEnergyCons!$C$4:$C$10000)*1,ISNUMBER(SEARCH("tfl*bev*ext",[1]OUT_TransportEnergyCons!$A$4:$A$10000))*1,[1]OUT_TransportEnergyCons!I$4:I$10000))*1000</f>
        <v>0</v>
      </c>
    </row>
    <row r="2210" spans="2:11" x14ac:dyDescent="0.35">
      <c r="B2210" s="5" t="str">
        <f t="shared" si="1311"/>
        <v>SPS3</v>
      </c>
      <c r="C2210" s="5" t="str">
        <f t="shared" si="1312"/>
        <v>CH</v>
      </c>
      <c r="D2210" t="s">
        <v>2358</v>
      </c>
      <c r="E2210" t="s">
        <v>2000</v>
      </c>
      <c r="F2210" s="1" cm="1">
        <f t="array" ref="F2210">(SUMPRODUCT(("var_ncap"=[1]OUT_TransportEnergyCons!$B$4:$B$10000)*1,("-"=[1]OUT_TransportEnergyCons!$C$4:$C$10000)*1,ISNUMBER(SEARCH("tfl*bev*",[1]OUT_TransportEnergyCons!$A$4:$A$10000))*1,[1]OUT_TransportEnergyCons!D$4:D$10000))*1000-F2209</f>
        <v>0</v>
      </c>
      <c r="G2210" s="1" cm="1">
        <f t="array" ref="G2210">(SUMPRODUCT(("var_ncap"=[1]OUT_TransportEnergyCons!$B$4:$B$10000)*1,("-"=[1]OUT_TransportEnergyCons!$C$4:$C$10000)*1,ISNUMBER(SEARCH("tfl*bev*",[1]OUT_TransportEnergyCons!$A$4:$A$10000))*1,[1]OUT_TransportEnergyCons!E$4:E$10000))*1000-G2209</f>
        <v>1.2382774125704901</v>
      </c>
      <c r="H2210" s="1" cm="1">
        <f t="array" ref="H2210">(SUMPRODUCT(("var_ncap"=[1]OUT_TransportEnergyCons!$B$4:$B$10000)*1,("-"=[1]OUT_TransportEnergyCons!$C$4:$C$10000)*1,ISNUMBER(SEARCH("tfl*bev*",[1]OUT_TransportEnergyCons!$A$4:$A$10000))*1,[1]OUT_TransportEnergyCons!F$4:F$10000))*1000-H2209</f>
        <v>2.0194005622893498</v>
      </c>
      <c r="I2210" s="1" cm="1">
        <f t="array" ref="I2210">(SUMPRODUCT(("var_ncap"=[1]OUT_TransportEnergyCons!$B$4:$B$10000)*1,("-"=[1]OUT_TransportEnergyCons!$C$4:$C$10000)*1,ISNUMBER(SEARCH("tfl*bev*",[1]OUT_TransportEnergyCons!$A$4:$A$10000))*1,[1]OUT_TransportEnergyCons!G$4:G$10000))*1000-I2209</f>
        <v>75.504231617008301</v>
      </c>
      <c r="J2210" s="1" cm="1">
        <f t="array" ref="J2210">(SUMPRODUCT(("var_ncap"=[1]OUT_TransportEnergyCons!$B$4:$B$10000)*1,("-"=[1]OUT_TransportEnergyCons!$C$4:$C$10000)*1,ISNUMBER(SEARCH("tfl*bev*",[1]OUT_TransportEnergyCons!$A$4:$A$10000))*1,[1]OUT_TransportEnergyCons!H$4:H$10000))*1000-J2209</f>
        <v>195.249655035751</v>
      </c>
      <c r="K2210" s="1" cm="1">
        <f t="array" ref="K2210">(SUMPRODUCT(("var_ncap"=[1]OUT_TransportEnergyCons!$B$4:$B$10000)*1,("-"=[1]OUT_TransportEnergyCons!$C$4:$C$10000)*1,ISNUMBER(SEARCH("tfl*bev*",[1]OUT_TransportEnergyCons!$A$4:$A$10000))*1,[1]OUT_TransportEnergyCons!I$4:I$10000))*1000-K2209</f>
        <v>367.47129132764599</v>
      </c>
    </row>
    <row r="2211" spans="2:11" x14ac:dyDescent="0.35">
      <c r="B2211" s="5" t="str">
        <f t="shared" si="1311"/>
        <v>SPS3</v>
      </c>
      <c r="C2211" s="5" t="str">
        <f t="shared" si="1312"/>
        <v>CH</v>
      </c>
      <c r="D2211" t="s">
        <v>2359</v>
      </c>
      <c r="E2211" t="s">
        <v>2000</v>
      </c>
      <c r="F2211" s="1" cm="1">
        <f t="array" ref="F2211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1" s="1" cm="1">
        <f t="array" ref="G2211">(SUMPRODUCT(("var_ncap"=[1]OUT_TransportEnergyCons!$B$4:$B$10000)*1,("-"=[1]OUT_TransportEnergyCons!$C$4:$C$10000)*1,ISNUMBER(SEARCH("tfl*h2o*",[1]OUT_TransportEnergyCons!$A$4:$A$10000))*1,[1]OUT_TransportEnergyCons!E$4:E$10000))*1000</f>
        <v>6.2398013710660604E-3</v>
      </c>
      <c r="H2211" s="1" cm="1">
        <f t="array" ref="H2211">(SUMPRODUCT(("var_ncap"=[1]OUT_TransportEnergyCons!$B$4:$B$10000)*1,("-"=[1]OUT_TransportEnergyCons!$C$4:$C$10000)*1,ISNUMBER(SEARCH("tfl*h2o*",[1]OUT_TransportEnergyCons!$A$4:$A$10000))*1,[1]OUT_TransportEnergyCons!F$4:F$10000))*1000</f>
        <v>2.1784988328161802E-3</v>
      </c>
      <c r="I2211" s="1" cm="1">
        <f t="array" ref="I2211">(SUMPRODUCT(("var_ncap"=[1]OUT_TransportEnergyCons!$B$4:$B$10000)*1,("-"=[1]OUT_TransportEnergyCons!$C$4:$C$10000)*1,ISNUMBER(SEARCH("tfl*h2o*",[1]OUT_TransportEnergyCons!$A$4:$A$10000))*1,[1]OUT_TransportEnergyCons!G$4:G$10000))*1000</f>
        <v>1.1015402843822398E-3</v>
      </c>
      <c r="J2211" s="1" cm="1">
        <f t="array" ref="J2211">(SUMPRODUCT(("var_ncap"=[1]OUT_TransportEnergyCons!$B$4:$B$10000)*1,("-"=[1]OUT_TransportEnergyCons!$C$4:$C$10000)*1,ISNUMBER(SEARCH("tfl*h2o*",[1]OUT_TransportEnergyCons!$A$4:$A$10000))*1,[1]OUT_TransportEnergyCons!H$4:H$10000))*1000</f>
        <v>1.0029699827747199E-3</v>
      </c>
      <c r="K2211" s="1" cm="1">
        <f t="array" ref="K2211">(SUMPRODUCT(("var_ncap"=[1]OUT_TransportEnergyCons!$B$4:$B$10000)*1,("-"=[1]OUT_TransportEnergyCons!$C$4:$C$10000)*1,ISNUMBER(SEARCH("tfl*h2o*",[1]OUT_TransportEnergyCons!$A$4:$A$10000))*1,[1]OUT_TransportEnergyCons!I$4:I$10000))*1000</f>
        <v>1.4309114468404401E-3</v>
      </c>
    </row>
    <row r="2212" spans="2:11" x14ac:dyDescent="0.35">
      <c r="B2212" s="5" t="str">
        <f t="shared" si="1311"/>
        <v>SPS3</v>
      </c>
      <c r="C2212" s="5" t="str">
        <f t="shared" si="1312"/>
        <v>CH</v>
      </c>
      <c r="D2212" t="s">
        <v>2360</v>
      </c>
      <c r="E2212" t="s">
        <v>2000</v>
      </c>
      <c r="F2212" s="1" cm="1">
        <f t="array" ref="F2212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2" s="1" cm="1">
        <f t="array" ref="G2212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2" s="1" cm="1">
        <f t="array" ref="H2212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2" s="1" cm="1">
        <f t="array" ref="I2212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2" s="1" cm="1">
        <f t="array" ref="J2212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2" s="1" cm="1">
        <f t="array" ref="K2212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</row>
    <row r="2213" spans="2:11" x14ac:dyDescent="0.35">
      <c r="B2213" s="5" t="str">
        <f t="shared" si="1311"/>
        <v>SPS3</v>
      </c>
      <c r="C2213" s="5" t="str">
        <f t="shared" si="1312"/>
        <v>CH</v>
      </c>
      <c r="D2213" t="s">
        <v>2361</v>
      </c>
      <c r="E2213" t="s">
        <v>2000</v>
      </c>
      <c r="F2213" s="1" cm="1">
        <f t="array" ref="F2213">(SUMPRODUCT(("var_ncap"=[1]OUT_TransportEnergyCons!$B$4:$B$10000)*1,("-"=[1]OUT_TransportEnergyCons!$C$4:$C$10000)*1,ISNUMBER(SEARCH("TfL*ICE*GSL*",[1]OUT_TransportEnergyCons!$A$4:$A$10000))*1,[1]OUT_TransportEnergyCons!D$4:D$10000))*1000-F2212</f>
        <v>0</v>
      </c>
      <c r="G2213" s="1" cm="1">
        <f t="array" ref="G2213">(SUMPRODUCT(("var_ncap"=[1]OUT_TransportEnergyCons!$B$4:$B$10000)*1,("-"=[1]OUT_TransportEnergyCons!$C$4:$C$10000)*1,ISNUMBER(SEARCH("TfL*ICE*GSL*",[1]OUT_TransportEnergyCons!$A$4:$A$10000))*1,[1]OUT_TransportEnergyCons!E$4:E$10000))*1000-G2212</f>
        <v>0.177926157551696</v>
      </c>
      <c r="H2213" s="1" cm="1">
        <f t="array" ref="H2213">(SUMPRODUCT(("var_ncap"=[1]OUT_TransportEnergyCons!$B$4:$B$10000)*1,("-"=[1]OUT_TransportEnergyCons!$C$4:$C$10000)*1,ISNUMBER(SEARCH("TfL*ICE*GSL*",[1]OUT_TransportEnergyCons!$A$4:$A$10000))*1,[1]OUT_TransportEnergyCons!F$4:F$10000))*1000-H2212</f>
        <v>12.389933052848299</v>
      </c>
      <c r="I2213" s="1" cm="1">
        <f t="array" ref="I2213">(SUMPRODUCT(("var_ncap"=[1]OUT_TransportEnergyCons!$B$4:$B$10000)*1,("-"=[1]OUT_TransportEnergyCons!$C$4:$C$10000)*1,ISNUMBER(SEARCH("TfL*ICE*GSL*",[1]OUT_TransportEnergyCons!$A$4:$A$10000))*1,[1]OUT_TransportEnergyCons!G$4:G$10000))*1000-I2212</f>
        <v>27.3032902837456</v>
      </c>
      <c r="J2213" s="1" cm="1">
        <f t="array" ref="J2213">(SUMPRODUCT(("var_ncap"=[1]OUT_TransportEnergyCons!$B$4:$B$10000)*1,("-"=[1]OUT_TransportEnergyCons!$C$4:$C$10000)*1,ISNUMBER(SEARCH("TfL*ICE*GSL*",[1]OUT_TransportEnergyCons!$A$4:$A$10000))*1,[1]OUT_TransportEnergyCons!H$4:H$10000))*1000-J2212</f>
        <v>4.2242311475416197E-3</v>
      </c>
      <c r="K2213" s="1" cm="1">
        <f t="array" ref="K2213">(SUMPRODUCT(("var_ncap"=[1]OUT_TransportEnergyCons!$B$4:$B$10000)*1,("-"=[1]OUT_TransportEnergyCons!$C$4:$C$10000)*1,ISNUMBER(SEARCH("TfL*ICE*GSL*",[1]OUT_TransportEnergyCons!$A$4:$A$10000))*1,[1]OUT_TransportEnergyCons!I$4:I$10000))*1000-K2212</f>
        <v>2.8453299277934901E-4</v>
      </c>
    </row>
    <row r="2214" spans="2:11" x14ac:dyDescent="0.35">
      <c r="B2214" s="5" t="str">
        <f t="shared" si="1311"/>
        <v>SPS3</v>
      </c>
      <c r="C2214" s="5" t="str">
        <f t="shared" si="1312"/>
        <v>CH</v>
      </c>
      <c r="D2214" t="s">
        <v>2362</v>
      </c>
      <c r="E2214" t="s">
        <v>2000</v>
      </c>
      <c r="F2214" s="1" cm="1">
        <f t="array" ref="F2214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</row>
    <row r="2215" spans="2:11" x14ac:dyDescent="0.35">
      <c r="B2215" s="5" t="str">
        <f t="shared" si="1311"/>
        <v>SPS3</v>
      </c>
      <c r="C2215" s="5" t="str">
        <f t="shared" si="1312"/>
        <v>CH</v>
      </c>
      <c r="D2215" t="s">
        <v>2363</v>
      </c>
      <c r="E2215" t="s">
        <v>2000</v>
      </c>
      <c r="F2215" s="1" cm="1">
        <f t="array" ref="F2215">(SUMPRODUCT(("var_ncap"=[1]OUT_TransportEnergyCons!$B$4:$B$10000)*1,("-"=[1]OUT_TransportEnergyCons!$C$4:$C$10000)*1,ISNUMBER(SEARCH("tfl*ICE*DSL*",[1]OUT_TransportEnergyCons!$A$4:$A$10000))*1,[1]OUT_TransportEnergyCons!D$4:D$10000))*1000-F2214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(SUMPRODUCT(("var_ncap"=[1]OUT_TransportEnergyCons!$B$4:$B$10000)*1,("-"=[1]OUT_TransportEnergyCons!$C$4:$C$10000)*1,ISNUMBER(SEARCH("tfl*ICE*DSL*",[1]OUT_TransportEnergyCons!$A$4:$A$10000))*1,[1]OUT_TransportEnergyCons!E$4:E$10000))*1000-G2214</f>
        <v>4.1489001321813199E-2</v>
      </c>
      <c r="H2215" s="1" cm="1">
        <f t="array" ref="H2215">(SUMPRODUCT(("var_ncap"=[1]OUT_TransportEnergyCons!$B$4:$B$10000)*1,("-"=[1]OUT_TransportEnergyCons!$C$4:$C$10000)*1,ISNUMBER(SEARCH("tfl*ICE*DSL*",[1]OUT_TransportEnergyCons!$A$4:$A$10000))*1,[1]OUT_TransportEnergyCons!F$4:F$10000))*1000-H2214</f>
        <v>0.80594066428982492</v>
      </c>
      <c r="I2215" s="1" cm="1">
        <f t="array" ref="I2215">(SUMPRODUCT(("var_ncap"=[1]OUT_TransportEnergyCons!$B$4:$B$10000)*1,("-"=[1]OUT_TransportEnergyCons!$C$4:$C$10000)*1,ISNUMBER(SEARCH("tfl*ICE*DSL*",[1]OUT_TransportEnergyCons!$A$4:$A$10000))*1,[1]OUT_TransportEnergyCons!G$4:G$10000))*1000-I2214</f>
        <v>8.2940346912832794E-2</v>
      </c>
      <c r="J2215" s="1" cm="1">
        <f t="array" ref="J2215">(SUMPRODUCT(("var_ncap"=[1]OUT_TransportEnergyCons!$B$4:$B$10000)*1,("-"=[1]OUT_TransportEnergyCons!$C$4:$C$10000)*1,ISNUMBER(SEARCH("tfl*ICE*DSL*",[1]OUT_TransportEnergyCons!$A$4:$A$10000))*1,[1]OUT_TransportEnergyCons!H$4:H$10000))*1000-J2214</f>
        <v>3.59311341069855E-3</v>
      </c>
      <c r="K2215" s="1" cm="1">
        <f t="array" ref="K2215">(SUMPRODUCT(("var_ncap"=[1]OUT_TransportEnergyCons!$B$4:$B$10000)*1,("-"=[1]OUT_TransportEnergyCons!$C$4:$C$10000)*1,ISNUMBER(SEARCH("tfl*ICE*DSL*",[1]OUT_TransportEnergyCons!$A$4:$A$10000))*1,[1]OUT_TransportEnergyCons!I$4:I$10000))*1000-K2214</f>
        <v>2.5613987810531899E-4</v>
      </c>
    </row>
    <row r="2216" spans="2:11" x14ac:dyDescent="0.35">
      <c r="B2216" s="5" t="str">
        <f t="shared" si="1311"/>
        <v>SPS3</v>
      </c>
      <c r="C2216" s="5" t="str">
        <f t="shared" si="1312"/>
        <v>CH</v>
      </c>
      <c r="D2216" t="s">
        <v>2364</v>
      </c>
      <c r="E2216" t="s">
        <v>2000</v>
      </c>
      <c r="F2216" s="1" cm="1">
        <f t="array" ref="F2216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(SUMPRODUCT(("var_ncap"=[1]OUT_TransportEnergyCons!$B$4:$B$10000)*1,("-"=[1]OUT_TransportEnergyCons!$C$4:$C$10000)*1,ISNUMBER(SEARCH("tfl*hyb*DSL*",[1]OUT_TransportEnergyCons!$A$4:$A$10000))*1,[1]OUT_TransportEnergyCons!E$4:E$10000))*1000</f>
        <v>14.2575907571791</v>
      </c>
      <c r="H2216" s="1" cm="1">
        <f t="array" ref="H2216">(SUMPRODUCT(("var_ncap"=[1]OUT_TransportEnergyCons!$B$4:$B$10000)*1,("-"=[1]OUT_TransportEnergyCons!$C$4:$C$10000)*1,ISNUMBER(SEARCH("tfl*hyb*DSL*",[1]OUT_TransportEnergyCons!$A$4:$A$10000))*1,[1]OUT_TransportEnergyCons!F$4:F$10000))*1000</f>
        <v>47.6184991161659</v>
      </c>
      <c r="I2216" s="1" cm="1">
        <f t="array" ref="I2216">(SUMPRODUCT(("var_ncap"=[1]OUT_TransportEnergyCons!$B$4:$B$10000)*1,("-"=[1]OUT_TransportEnergyCons!$C$4:$C$10000)*1,ISNUMBER(SEARCH("tfl*hyb*DSL*",[1]OUT_TransportEnergyCons!$A$4:$A$10000))*1,[1]OUT_TransportEnergyCons!G$4:G$10000))*1000</f>
        <v>66.181502834543508</v>
      </c>
      <c r="J2216" s="1" cm="1">
        <f t="array" ref="J2216">(SUMPRODUCT(("var_ncap"=[1]OUT_TransportEnergyCons!$B$4:$B$10000)*1,("-"=[1]OUT_TransportEnergyCons!$C$4:$C$10000)*1,ISNUMBER(SEARCH("tfl*hyb*DSL*",[1]OUT_TransportEnergyCons!$A$4:$A$10000))*1,[1]OUT_TransportEnergyCons!H$4:H$10000))*1000</f>
        <v>8.8436827058939703E-3</v>
      </c>
      <c r="K2216" s="1" cm="1">
        <f t="array" ref="K2216">(SUMPRODUCT(("var_ncap"=[1]OUT_TransportEnergyCons!$B$4:$B$10000)*1,("-"=[1]OUT_TransportEnergyCons!$C$4:$C$10000)*1,ISNUMBER(SEARCH("tfl*hyb*DSL*",[1]OUT_TransportEnergyCons!$A$4:$A$10000))*1,[1]OUT_TransportEnergyCons!I$4:I$10000))*1000</f>
        <v>8.0395067356372801E-4</v>
      </c>
    </row>
    <row r="2217" spans="2:11" x14ac:dyDescent="0.35">
      <c r="B2217" s="5" t="str">
        <f t="shared" si="1311"/>
        <v>SPS3</v>
      </c>
      <c r="C2217" s="5" t="str">
        <f t="shared" si="1312"/>
        <v>CH</v>
      </c>
      <c r="D2217" t="s">
        <v>2365</v>
      </c>
      <c r="E2217" t="s">
        <v>2000</v>
      </c>
      <c r="F2217" s="1" cm="1">
        <f t="array" ref="F2217">(SUMPRODUCT(("var_ncap"=[1]OUT_TransportEnergyCons!$B$4:$B$10000)*1,("-"=[1]OUT_TransportEnergyCons!$C$4:$C$10000)*1,ISNUMBER(SEARCH("tfl*ice*nga*",[1]OUT_TransportEnergyCons!$A$4:$A$10000))*1,[1]OUT_TransportEnergyCons!D$4:D$10000))*1000</f>
        <v>3.8896223181147698E-5</v>
      </c>
      <c r="G2217" s="1" cm="1">
        <f t="array" ref="G2217">(SUMPRODUCT(("var_ncap"=[1]OUT_TransportEnergyCons!$B$4:$B$10000)*1,("-"=[1]OUT_TransportEnergyCons!$C$4:$C$10000)*1,ISNUMBER(SEARCH("tfl*ice*nga*",[1]OUT_TransportEnergyCons!$A$4:$A$10000))*1,[1]OUT_TransportEnergyCons!E$4:E$10000))*1000</f>
        <v>2.0615122012000997E-3</v>
      </c>
      <c r="H2217" s="1" cm="1">
        <f t="array" ref="H2217">(SUMPRODUCT(("var_ncap"=[1]OUT_TransportEnergyCons!$B$4:$B$10000)*1,("-"=[1]OUT_TransportEnergyCons!$C$4:$C$10000)*1,ISNUMBER(SEARCH("tfl*ice*nga*",[1]OUT_TransportEnergyCons!$A$4:$A$10000))*1,[1]OUT_TransportEnergyCons!F$4:F$10000))*1000</f>
        <v>3.9156856124678494E-3</v>
      </c>
      <c r="I2217" s="1" cm="1">
        <f t="array" ref="I2217">(SUMPRODUCT(("var_ncap"=[1]OUT_TransportEnergyCons!$B$4:$B$10000)*1,("-"=[1]OUT_TransportEnergyCons!$C$4:$C$10000)*1,ISNUMBER(SEARCH("tfl*ice*nga*",[1]OUT_TransportEnergyCons!$A$4:$A$10000))*1,[1]OUT_TransportEnergyCons!G$4:G$10000))*1000</f>
        <v>3.1841748421140102E-3</v>
      </c>
      <c r="J2217" s="1" cm="1">
        <f t="array" ref="J2217">(SUMPRODUCT(("var_ncap"=[1]OUT_TransportEnergyCons!$B$4:$B$10000)*1,("-"=[1]OUT_TransportEnergyCons!$C$4:$C$10000)*1,ISNUMBER(SEARCH("tfl*ice*nga*",[1]OUT_TransportEnergyCons!$A$4:$A$10000))*1,[1]OUT_TransportEnergyCons!H$4:H$10000))*1000</f>
        <v>3.1755208737730099E-3</v>
      </c>
      <c r="K2217" s="1" cm="1">
        <f t="array" ref="K2217">(SUMPRODUCT(("var_ncap"=[1]OUT_TransportEnergyCons!$B$4:$B$10000)*1,("-"=[1]OUT_TransportEnergyCons!$C$4:$C$10000)*1,ISNUMBER(SEARCH("tfl*ice*nga*",[1]OUT_TransportEnergyCons!$A$4:$A$10000))*1,[1]OUT_TransportEnergyCons!I$4:I$10000))*1000</f>
        <v>5.58813621970221E-4</v>
      </c>
    </row>
    <row r="2218" spans="2:11" x14ac:dyDescent="0.35">
      <c r="B2218" s="5" t="str">
        <f t="shared" si="1311"/>
        <v>SPS3</v>
      </c>
      <c r="C2218" s="5" t="str">
        <f t="shared" si="1312"/>
        <v>CH</v>
      </c>
      <c r="D2218" s="2" t="s">
        <v>2190</v>
      </c>
      <c r="E2218" s="2" t="s">
        <v>2000</v>
      </c>
      <c r="F2218" s="3">
        <f t="shared" ref="F2218:K2218" si="1315">SUM(F2219:F2227)</f>
        <v>0</v>
      </c>
      <c r="G2218" s="3">
        <f t="shared" si="1315"/>
        <v>3.4626532958540719</v>
      </c>
      <c r="H2218" s="3">
        <f t="shared" si="1315"/>
        <v>9.4005100813558702</v>
      </c>
      <c r="I2218" s="3">
        <f t="shared" si="1315"/>
        <v>26.402450543712551</v>
      </c>
      <c r="J2218" s="3">
        <f t="shared" si="1315"/>
        <v>21.612078505304101</v>
      </c>
      <c r="K2218" s="3">
        <f t="shared" si="1315"/>
        <v>49.192551276094342</v>
      </c>
    </row>
    <row r="2219" spans="2:11" x14ac:dyDescent="0.35">
      <c r="B2219" s="5" t="str">
        <f t="shared" si="1311"/>
        <v>SPS3</v>
      </c>
      <c r="C2219" s="5" t="str">
        <f t="shared" si="1312"/>
        <v>CH</v>
      </c>
      <c r="D2219" t="s">
        <v>2366</v>
      </c>
      <c r="E2219" t="s">
        <v>2000</v>
      </c>
      <c r="F2219" s="1" cm="1">
        <f t="array" ref="F2219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(SUMPRODUCT(("var_ncap"=[1]OUT_TransportEnergyCons!$B$4:$B$10000)*1,("-"=[1]OUT_TransportEnergyCons!$C$4:$C$10000)*1,ISNUMBER(SEARCH("tfh*bev*ext",[1]OUT_TransportEnergyCons!$A$4:$A$10000))*1,[1]OUT_TransportEnergyCons!I$4:I$10000))*1000</f>
        <v>0</v>
      </c>
    </row>
    <row r="2220" spans="2:11" x14ac:dyDescent="0.35">
      <c r="B2220" s="5" t="str">
        <f t="shared" si="1311"/>
        <v>SPS3</v>
      </c>
      <c r="C2220" s="5" t="str">
        <f t="shared" si="1312"/>
        <v>CH</v>
      </c>
      <c r="D2220" t="s">
        <v>2367</v>
      </c>
      <c r="E2220" t="s">
        <v>2000</v>
      </c>
      <c r="F2220" s="1" cm="1">
        <f t="array" ref="F2220">(SUMPRODUCT(("var_ncap"=[1]OUT_TransportEnergyCons!$B$4:$B$10000)*1,("-"=[1]OUT_TransportEnergyCons!$C$4:$C$10000)*1,ISNUMBER(SEARCH("tfh*bev*",[1]OUT_TransportEnergyCons!$A$4:$A$10000))*1,[1]OUT_TransportEnergyCons!D$4:D$10000))*1000-F2219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(SUMPRODUCT(("var_ncap"=[1]OUT_TransportEnergyCons!$B$4:$B$10000)*1,("-"=[1]OUT_TransportEnergyCons!$C$4:$C$10000)*1,ISNUMBER(SEARCH("tfh*bev*",[1]OUT_TransportEnergyCons!$A$4:$A$10000))*1,[1]OUT_TransportEnergyCons!E$4:E$10000))*1000-G2219</f>
        <v>3.3512978803017699E-3</v>
      </c>
      <c r="H2220" s="1" cm="1">
        <f t="array" ref="H2220">(SUMPRODUCT(("var_ncap"=[1]OUT_TransportEnergyCons!$B$4:$B$10000)*1,("-"=[1]OUT_TransportEnergyCons!$C$4:$C$10000)*1,ISNUMBER(SEARCH("tfh*bev*",[1]OUT_TransportEnergyCons!$A$4:$A$10000))*1,[1]OUT_TransportEnergyCons!F$4:F$10000))*1000-H2219</f>
        <v>7.0391875611858406E-3</v>
      </c>
      <c r="I2220" s="1" cm="1">
        <f t="array" ref="I2220">(SUMPRODUCT(("var_ncap"=[1]OUT_TransportEnergyCons!$B$4:$B$10000)*1,("-"=[1]OUT_TransportEnergyCons!$C$4:$C$10000)*1,ISNUMBER(SEARCH("tfh*bev*",[1]OUT_TransportEnergyCons!$A$4:$A$10000))*1,[1]OUT_TransportEnergyCons!G$4:G$10000))*1000-I2219</f>
        <v>9.1063831996613907E-3</v>
      </c>
      <c r="J2220" s="1" cm="1">
        <f t="array" ref="J2220">(SUMPRODUCT(("var_ncap"=[1]OUT_TransportEnergyCons!$B$4:$B$10000)*1,("-"=[1]OUT_TransportEnergyCons!$C$4:$C$10000)*1,ISNUMBER(SEARCH("tfh*bev*",[1]OUT_TransportEnergyCons!$A$4:$A$10000))*1,[1]OUT_TransportEnergyCons!H$4:H$10000))*1000-J2219</f>
        <v>21.607817909561899</v>
      </c>
      <c r="K2220" s="1" cm="1">
        <f t="array" ref="K2220">(SUMPRODUCT(("var_ncap"=[1]OUT_TransportEnergyCons!$B$4:$B$10000)*1,("-"=[1]OUT_TransportEnergyCons!$C$4:$C$10000)*1,ISNUMBER(SEARCH("tfh*bev*",[1]OUT_TransportEnergyCons!$A$4:$A$10000))*1,[1]OUT_TransportEnergyCons!I$4:I$10000))*1000-K2219</f>
        <v>47.989710994549696</v>
      </c>
    </row>
    <row r="2221" spans="2:11" x14ac:dyDescent="0.35">
      <c r="B2221" s="5" t="str">
        <f t="shared" si="1311"/>
        <v>SPS3</v>
      </c>
      <c r="C2221" s="5" t="str">
        <f t="shared" si="1312"/>
        <v>CH</v>
      </c>
      <c r="D2221" t="s">
        <v>2368</v>
      </c>
      <c r="E2221" t="s">
        <v>2000</v>
      </c>
      <c r="F2221" s="1" cm="1">
        <f t="array" ref="F2221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(SUMPRODUCT(("var_ncap"=[1]OUT_TransportEnergyCons!$B$4:$B$10000)*1,("-"=[1]OUT_TransportEnergyCons!$C$4:$C$10000)*1,ISNUMBER(SEARCH("tfh*h2o*",[1]OUT_TransportEnergyCons!$A$4:$A$10000))*1,[1]OUT_TransportEnergyCons!E$4:E$10000))*1000</f>
        <v>3.4038356112138903E-4</v>
      </c>
      <c r="H2221" s="1" cm="1">
        <f t="array" ref="H2221">(SUMPRODUCT(("var_ncap"=[1]OUT_TransportEnergyCons!$B$4:$B$10000)*1,("-"=[1]OUT_TransportEnergyCons!$C$4:$C$10000)*1,ISNUMBER(SEARCH("tfh*h2o*",[1]OUT_TransportEnergyCons!$A$4:$A$10000))*1,[1]OUT_TransportEnergyCons!F$4:F$10000))*1000</f>
        <v>2.0600867055573001E-4</v>
      </c>
      <c r="I2221" s="1" cm="1">
        <f t="array" ref="I2221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1" s="1" cm="1">
        <f t="array" ref="J2221">(SUMPRODUCT(("var_ncap"=[1]OUT_TransportEnergyCons!$B$4:$B$10000)*1,("-"=[1]OUT_TransportEnergyCons!$C$4:$C$10000)*1,ISNUMBER(SEARCH("tfh*h2o*",[1]OUT_TransportEnergyCons!$A$4:$A$10000))*1,[1]OUT_TransportEnergyCons!H$4:H$10000))*1000</f>
        <v>7.2113632313470101E-4</v>
      </c>
      <c r="K2221" s="1" cm="1">
        <f t="array" ref="K2221">(SUMPRODUCT(("var_ncap"=[1]OUT_TransportEnergyCons!$B$4:$B$10000)*1,("-"=[1]OUT_TransportEnergyCons!$C$4:$C$10000)*1,ISNUMBER(SEARCH("tfh*h2o*",[1]OUT_TransportEnergyCons!$A$4:$A$10000))*1,[1]OUT_TransportEnergyCons!I$4:I$10000))*1000</f>
        <v>1.89152179465728E-3</v>
      </c>
    </row>
    <row r="2222" spans="2:11" x14ac:dyDescent="0.35">
      <c r="B2222" s="5" t="str">
        <f t="shared" si="1311"/>
        <v>SPS3</v>
      </c>
      <c r="C2222" s="5" t="str">
        <f t="shared" si="1312"/>
        <v>CH</v>
      </c>
      <c r="D2222" t="s">
        <v>2369</v>
      </c>
      <c r="E2222" t="s">
        <v>2000</v>
      </c>
      <c r="F2222" s="1" cm="1">
        <f t="array" ref="F2222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2" s="1" cm="1">
        <f t="array" ref="G2222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2" s="1" cm="1">
        <f t="array" ref="H2222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2" s="1" cm="1">
        <f t="array" ref="I2222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2" s="1" cm="1">
        <f t="array" ref="J2222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2" s="1" cm="1">
        <f t="array" ref="K2222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</row>
    <row r="2223" spans="2:11" x14ac:dyDescent="0.35">
      <c r="B2223" s="5" t="str">
        <f t="shared" si="1311"/>
        <v>SPS3</v>
      </c>
      <c r="C2223" s="5" t="str">
        <f t="shared" si="1312"/>
        <v>CH</v>
      </c>
      <c r="D2223" t="s">
        <v>2370</v>
      </c>
      <c r="E2223" t="s">
        <v>2000</v>
      </c>
      <c r="F2223" s="1" cm="1">
        <f t="array" ref="F2223">(SUMPRODUCT(("var_ncap"=[1]OUT_TransportEnergyCons!$B$4:$B$10000)*1,("-"=[1]OUT_TransportEnergyCons!$C$4:$C$10000)*1,ISNUMBER(SEARCH("tfh*ICE*GSL*",[1]OUT_TransportEnergyCons!$A$4:$A$10000))*1,[1]OUT_TransportEnergyCons!D$4:D$10000))*1000-F2222</f>
        <v>0</v>
      </c>
      <c r="G2223" s="1" cm="1">
        <f t="array" ref="G2223">(SUMPRODUCT(("var_ncap"=[1]OUT_TransportEnergyCons!$B$4:$B$10000)*1,("-"=[1]OUT_TransportEnergyCons!$C$4:$C$10000)*1,ISNUMBER(SEARCH("tfh*ICE*GSL*",[1]OUT_TransportEnergyCons!$A$4:$A$10000))*1,[1]OUT_TransportEnergyCons!E$4:E$10000))*1000-G2222</f>
        <v>0</v>
      </c>
      <c r="H2223" s="1" cm="1">
        <f t="array" ref="H2223">(SUMPRODUCT(("var_ncap"=[1]OUT_TransportEnergyCons!$B$4:$B$10000)*1,("-"=[1]OUT_TransportEnergyCons!$C$4:$C$10000)*1,ISNUMBER(SEARCH("tfh*ICE*GSL*",[1]OUT_TransportEnergyCons!$A$4:$A$10000))*1,[1]OUT_TransportEnergyCons!F$4:F$10000))*1000-H2222</f>
        <v>0</v>
      </c>
      <c r="I2223" s="1" cm="1">
        <f t="array" ref="I2223">(SUMPRODUCT(("var_ncap"=[1]OUT_TransportEnergyCons!$B$4:$B$10000)*1,("-"=[1]OUT_TransportEnergyCons!$C$4:$C$10000)*1,ISNUMBER(SEARCH("tfh*ICE*GSL*",[1]OUT_TransportEnergyCons!$A$4:$A$10000))*1,[1]OUT_TransportEnergyCons!G$4:G$10000))*1000-I2222</f>
        <v>0</v>
      </c>
      <c r="J2223" s="1" cm="1">
        <f t="array" ref="J2223">(SUMPRODUCT(("var_ncap"=[1]OUT_TransportEnergyCons!$B$4:$B$10000)*1,("-"=[1]OUT_TransportEnergyCons!$C$4:$C$10000)*1,ISNUMBER(SEARCH("tfh*ICE*GSL*",[1]OUT_TransportEnergyCons!$A$4:$A$10000))*1,[1]OUT_TransportEnergyCons!H$4:H$10000))*1000-J2222</f>
        <v>0</v>
      </c>
      <c r="K2223" s="1" cm="1">
        <f t="array" ref="K2223">(SUMPRODUCT(("var_ncap"=[1]OUT_TransportEnergyCons!$B$4:$B$10000)*1,("-"=[1]OUT_TransportEnergyCons!$C$4:$C$10000)*1,ISNUMBER(SEARCH("tfh*ICE*GSL*",[1]OUT_TransportEnergyCons!$A$4:$A$10000))*1,[1]OUT_TransportEnergyCons!I$4:I$10000))*1000-K2222</f>
        <v>0</v>
      </c>
    </row>
    <row r="2224" spans="2:11" x14ac:dyDescent="0.35">
      <c r="B2224" s="5" t="str">
        <f t="shared" si="1311"/>
        <v>SPS3</v>
      </c>
      <c r="C2224" s="5" t="str">
        <f t="shared" si="1312"/>
        <v>CH</v>
      </c>
      <c r="D2224" t="s">
        <v>2371</v>
      </c>
      <c r="E2224" t="s">
        <v>2000</v>
      </c>
      <c r="F2224" s="1" cm="1">
        <f t="array" ref="F2224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</row>
    <row r="2225" spans="2:11" x14ac:dyDescent="0.35">
      <c r="B2225" s="5" t="str">
        <f t="shared" si="1311"/>
        <v>SPS3</v>
      </c>
      <c r="C2225" s="5" t="str">
        <f t="shared" si="1312"/>
        <v>CH</v>
      </c>
      <c r="D2225" t="s">
        <v>2372</v>
      </c>
      <c r="E2225" t="s">
        <v>2000</v>
      </c>
      <c r="F2225" s="1" cm="1">
        <f t="array" ref="F2225">(SUMPRODUCT(("var_ncap"=[1]OUT_TransportEnergyCons!$B$4:$B$10000)*1,("-"=[1]OUT_TransportEnergyCons!$C$4:$C$10000)*1,ISNUMBER(SEARCH("tfh*ICE*DSL*",[1]OUT_TransportEnergyCons!$A$4:$A$10000))*1,[1]OUT_TransportEnergyCons!D$4:D$10000))*1000-F2224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(SUMPRODUCT(("var_ncap"=[1]OUT_TransportEnergyCons!$B$4:$B$10000)*1,("-"=[1]OUT_TransportEnergyCons!$C$4:$C$10000)*1,ISNUMBER(SEARCH("tfh*ICE*DSL*",[1]OUT_TransportEnergyCons!$A$4:$A$10000))*1,[1]OUT_TransportEnergyCons!E$4:E$10000))*1000-G2224</f>
        <v>3.7377281039927498E-3</v>
      </c>
      <c r="H2225" s="1" cm="1">
        <f t="array" ref="H2225">(SUMPRODUCT(("var_ncap"=[1]OUT_TransportEnergyCons!$B$4:$B$10000)*1,("-"=[1]OUT_TransportEnergyCons!$C$4:$C$10000)*1,ISNUMBER(SEARCH("tfh*ICE*DSL*",[1]OUT_TransportEnergyCons!$A$4:$A$10000))*1,[1]OUT_TransportEnergyCons!F$4:F$10000))*1000-H2224</f>
        <v>1.0860832704504801E-2</v>
      </c>
      <c r="I2225" s="1" cm="1">
        <f t="array" ref="I2225">(SUMPRODUCT(("var_ncap"=[1]OUT_TransportEnergyCons!$B$4:$B$10000)*1,("-"=[1]OUT_TransportEnergyCons!$C$4:$C$10000)*1,ISNUMBER(SEARCH("tfh*ICE*DSL*",[1]OUT_TransportEnergyCons!$A$4:$A$10000))*1,[1]OUT_TransportEnergyCons!G$4:G$10000))*1000-I2224</f>
        <v>1.1984717273952401E-2</v>
      </c>
      <c r="J2225" s="1" cm="1">
        <f t="array" ref="J2225">(SUMPRODUCT(("var_ncap"=[1]OUT_TransportEnergyCons!$B$4:$B$10000)*1,("-"=[1]OUT_TransportEnergyCons!$C$4:$C$10000)*1,ISNUMBER(SEARCH("tfh*ICE*DSL*",[1]OUT_TransportEnergyCons!$A$4:$A$10000))*1,[1]OUT_TransportEnergyCons!H$4:H$10000))*1000-J2224</f>
        <v>2.7949732356637603E-4</v>
      </c>
      <c r="K2225" s="1" cm="1">
        <f t="array" ref="K2225">(SUMPRODUCT(("var_ncap"=[1]OUT_TransportEnergyCons!$B$4:$B$10000)*1,("-"=[1]OUT_TransportEnergyCons!$C$4:$C$10000)*1,ISNUMBER(SEARCH("tfh*ICE*DSL*",[1]OUT_TransportEnergyCons!$A$4:$A$10000))*1,[1]OUT_TransportEnergyCons!I$4:I$10000))*1000-K2224</f>
        <v>4.8263020162760298E-5</v>
      </c>
    </row>
    <row r="2226" spans="2:11" x14ac:dyDescent="0.35">
      <c r="B2226" s="5" t="str">
        <f t="shared" si="1311"/>
        <v>SPS3</v>
      </c>
      <c r="C2226" s="5" t="str">
        <f t="shared" si="1312"/>
        <v>CH</v>
      </c>
      <c r="D2226" t="s">
        <v>2373</v>
      </c>
      <c r="E2226" t="s">
        <v>2000</v>
      </c>
      <c r="F2226" s="1" cm="1">
        <f t="array" ref="F2226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(SUMPRODUCT(("var_ncap"=[1]OUT_TransportEnergyCons!$B$4:$B$10000)*1,("-"=[1]OUT_TransportEnergyCons!$C$4:$C$10000)*1,ISNUMBER(SEARCH("tfh*hyb*DSL*",[1]OUT_TransportEnergyCons!$A$4:$A$10000))*1,[1]OUT_TransportEnergyCons!E$4:E$10000))*1000</f>
        <v>3.4549089440583902</v>
      </c>
      <c r="H2226" s="1" cm="1">
        <f t="array" ref="H2226">(SUMPRODUCT(("var_ncap"=[1]OUT_TransportEnergyCons!$B$4:$B$10000)*1,("-"=[1]OUT_TransportEnergyCons!$C$4:$C$10000)*1,ISNUMBER(SEARCH("tfh*hyb*DSL*",[1]OUT_TransportEnergyCons!$A$4:$A$10000))*1,[1]OUT_TransportEnergyCons!F$4:F$10000))*1000</f>
        <v>9.3820593904856988</v>
      </c>
      <c r="I2226" s="1" cm="1">
        <f t="array" ref="I2226">(SUMPRODUCT(("var_ncap"=[1]OUT_TransportEnergyCons!$B$4:$B$10000)*1,("-"=[1]OUT_TransportEnergyCons!$C$4:$C$10000)*1,ISNUMBER(SEARCH("tfh*hyb*DSL*",[1]OUT_TransportEnergyCons!$A$4:$A$10000))*1,[1]OUT_TransportEnergyCons!G$4:G$10000))*1000</f>
        <v>26.379951072757898</v>
      </c>
      <c r="J2226" s="1" cm="1">
        <f t="array" ref="J2226">(SUMPRODUCT(("var_ncap"=[1]OUT_TransportEnergyCons!$B$4:$B$10000)*1,("-"=[1]OUT_TransportEnergyCons!$C$4:$C$10000)*1,ISNUMBER(SEARCH("tfh*hyb*DSL*",[1]OUT_TransportEnergyCons!$A$4:$A$10000))*1,[1]OUT_TransportEnergyCons!H$4:H$10000))*1000</f>
        <v>2.3707053128945699E-3</v>
      </c>
      <c r="K2226" s="1" cm="1">
        <f t="array" ref="K2226">(SUMPRODUCT(("var_ncap"=[1]OUT_TransportEnergyCons!$B$4:$B$10000)*1,("-"=[1]OUT_TransportEnergyCons!$C$4:$C$10000)*1,ISNUMBER(SEARCH("tfh*hyb*DSL*",[1]OUT_TransportEnergyCons!$A$4:$A$10000))*1,[1]OUT_TransportEnergyCons!I$4:I$10000))*1000</f>
        <v>1.1990705621142701</v>
      </c>
    </row>
    <row r="2227" spans="2:11" x14ac:dyDescent="0.35">
      <c r="B2227" s="5" t="str">
        <f t="shared" si="1311"/>
        <v>SPS3</v>
      </c>
      <c r="C2227" s="5" t="str">
        <f t="shared" si="1312"/>
        <v>CH</v>
      </c>
      <c r="D2227" t="s">
        <v>2374</v>
      </c>
      <c r="E2227" t="s">
        <v>2000</v>
      </c>
      <c r="F2227" s="1" cm="1">
        <f t="array" ref="F2227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(SUMPRODUCT(("var_ncap"=[1]OUT_TransportEnergyCons!$B$4:$B$10000)*1,("-"=[1]OUT_TransportEnergyCons!$C$4:$C$10000)*1,ISNUMBER(SEARCH("tfh*ice*nga*",[1]OUT_TransportEnergyCons!$A$4:$A$10000))*1,[1]OUT_TransportEnergyCons!E$4:E$10000))*1000</f>
        <v>3.1494225026582702E-4</v>
      </c>
      <c r="H2227" s="1" cm="1">
        <f t="array" ref="H2227">(SUMPRODUCT(("var_ncap"=[1]OUT_TransportEnergyCons!$B$4:$B$10000)*1,("-"=[1]OUT_TransportEnergyCons!$C$4:$C$10000)*1,ISNUMBER(SEARCH("tfh*ice*nga*",[1]OUT_TransportEnergyCons!$A$4:$A$10000))*1,[1]OUT_TransportEnergyCons!F$4:F$10000))*1000</f>
        <v>3.4466193392473102E-4</v>
      </c>
      <c r="I2227" s="1" cm="1">
        <f t="array" ref="I2227">(SUMPRODUCT(("var_ncap"=[1]OUT_TransportEnergyCons!$B$4:$B$10000)*1,("-"=[1]OUT_TransportEnergyCons!$C$4:$C$10000)*1,ISNUMBER(SEARCH("tfh*ice*nga*",[1]OUT_TransportEnergyCons!$A$4:$A$10000))*1,[1]OUT_TransportEnergyCons!G$4:G$10000))*1000</f>
        <v>1.4083704810392201E-3</v>
      </c>
      <c r="J2227" s="1" cm="1">
        <f t="array" ref="J2227">(SUMPRODUCT(("var_ncap"=[1]OUT_TransportEnergyCons!$B$4:$B$10000)*1,("-"=[1]OUT_TransportEnergyCons!$C$4:$C$10000)*1,ISNUMBER(SEARCH("tfh*ice*nga*",[1]OUT_TransportEnergyCons!$A$4:$A$10000))*1,[1]OUT_TransportEnergyCons!H$4:H$10000))*1000</f>
        <v>8.8925678260254608E-4</v>
      </c>
      <c r="K2227" s="1" cm="1">
        <f t="array" ref="K2227">(SUMPRODUCT(("var_ncap"=[1]OUT_TransportEnergyCons!$B$4:$B$10000)*1,("-"=[1]OUT_TransportEnergyCons!$C$4:$C$10000)*1,ISNUMBER(SEARCH("tfh*ice*nga*",[1]OUT_TransportEnergyCons!$A$4:$A$10000))*1,[1]OUT_TransportEnergyCons!I$4:I$10000))*1000</f>
        <v>1.8299346155574801E-3</v>
      </c>
    </row>
    <row r="2228" spans="2:11" x14ac:dyDescent="0.35">
      <c r="B2228" s="5" t="str">
        <f t="shared" si="1311"/>
        <v>SPS3</v>
      </c>
      <c r="C2228" s="5" t="str">
        <f t="shared" si="1312"/>
        <v>CH</v>
      </c>
      <c r="D2228" s="2" t="s">
        <v>2192</v>
      </c>
      <c r="E2228" s="2" t="s">
        <v>1859</v>
      </c>
      <c r="F2228" s="3">
        <f t="shared" ref="F2228:K2228" si="1316">SUM(F2229,F2248)</f>
        <v>7.7712697627447256E-5</v>
      </c>
      <c r="G2228" s="3">
        <f t="shared" si="1316"/>
        <v>0.71921523732526671</v>
      </c>
      <c r="H2228" s="3">
        <f t="shared" si="1316"/>
        <v>1.6121926323726945</v>
      </c>
      <c r="I2228" s="3">
        <f t="shared" si="1316"/>
        <v>1.7708780684263732</v>
      </c>
      <c r="J2228" s="3">
        <f t="shared" si="1316"/>
        <v>4.009782257382386</v>
      </c>
      <c r="K2228" s="3">
        <f t="shared" si="1316"/>
        <v>3.5586000930345065</v>
      </c>
    </row>
    <row r="2229" spans="2:11" x14ac:dyDescent="0.35">
      <c r="B2229" s="5" t="str">
        <f t="shared" si="1311"/>
        <v>SPS3</v>
      </c>
      <c r="C2229" s="5" t="str">
        <f t="shared" si="1312"/>
        <v>CH</v>
      </c>
      <c r="D2229" t="s">
        <v>2375</v>
      </c>
      <c r="E2229" t="str">
        <f>E2228</f>
        <v>GWth/yr.</v>
      </c>
      <c r="F2229" s="1">
        <f t="shared" ref="F2229:K2229" si="1317">SUM(F2230,F2233,F2235,F2238,F2240,F2242,F2244,F2246)</f>
        <v>4.6748543548876068E-5</v>
      </c>
      <c r="G2229" s="1">
        <f t="shared" si="1317"/>
        <v>0.55988512799493684</v>
      </c>
      <c r="H2229" s="1">
        <f t="shared" si="1317"/>
        <v>1.4127213034646384</v>
      </c>
      <c r="I2229" s="1">
        <f t="shared" si="1317"/>
        <v>1.3552170971041577</v>
      </c>
      <c r="J2229" s="1">
        <f t="shared" si="1317"/>
        <v>2.9894951663956921</v>
      </c>
      <c r="K2229" s="1">
        <f t="shared" si="1317"/>
        <v>2.3360843411143173</v>
      </c>
    </row>
    <row r="2230" spans="2:11" x14ac:dyDescent="0.35">
      <c r="B2230" s="5" t="str">
        <f t="shared" si="1311"/>
        <v>SPS3</v>
      </c>
      <c r="C2230" s="5" t="str">
        <f t="shared" si="1312"/>
        <v>CH</v>
      </c>
      <c r="D2230" t="s">
        <v>2376</v>
      </c>
      <c r="E2230" t="str">
        <f>E2228</f>
        <v>GWth/yr.</v>
      </c>
      <c r="F2230" s="1">
        <f t="shared" ref="F2230:K2230" si="1318">SUM(F2231:F2232)</f>
        <v>4.0705921357605454E-6</v>
      </c>
      <c r="G2230" s="1">
        <f t="shared" si="1318"/>
        <v>0.271617865994701</v>
      </c>
      <c r="H2230" s="1">
        <f t="shared" si="1318"/>
        <v>0.99404263153698735</v>
      </c>
      <c r="I2230" s="1">
        <f t="shared" si="1318"/>
        <v>1.1684279264788253</v>
      </c>
      <c r="J2230" s="1">
        <f t="shared" si="1318"/>
        <v>2.2391350343854066</v>
      </c>
      <c r="K2230" s="1">
        <f t="shared" si="1318"/>
        <v>2.1425796747039429</v>
      </c>
    </row>
    <row r="2231" spans="2:11" x14ac:dyDescent="0.35">
      <c r="B2231" s="5" t="str">
        <f t="shared" si="1311"/>
        <v>SPS3</v>
      </c>
      <c r="C2231" s="5" t="str">
        <f t="shared" si="1312"/>
        <v>CH</v>
      </c>
      <c r="D2231" t="s">
        <v>2377</v>
      </c>
      <c r="E2231" t="str">
        <f t="shared" ref="E2231:E2294" si="1319">E2230</f>
        <v>GWth/yr.</v>
      </c>
      <c r="F2231" s="1" cm="1">
        <f t="array" ref="F2231">SUMPRODUCT(([1]OUT_FinalEnergyCons!$B$4:$B$10000="var_ncap")*1,(ISNUMBER(SEARCH("RH*-SHELCBR",[1]OUT_FinalEnergyCons!$A$4:$A$10000)))*1,[1]OUT_FinalEnergyCons!D$4:D$10000)</f>
        <v>2.421709996704309E-6</v>
      </c>
      <c r="G2231" s="1" cm="1">
        <f t="array" ref="G2231">SUMPRODUCT(([1]OUT_FinalEnergyCons!$B$4:$B$10000="var_ncap")*1,(ISNUMBER(SEARCH("RH*-SHELCBR",[1]OUT_FinalEnergyCons!$A$4:$A$10000)))*1,[1]OUT_FinalEnergyCons!E$4:E$10000)</f>
        <v>4.7003174695709429E-2</v>
      </c>
      <c r="H2231" s="1" cm="1">
        <f t="array" ref="H2231">SUMPRODUCT(([1]OUT_FinalEnergyCons!$B$4:$B$10000="var_ncap")*1,(ISNUMBER(SEARCH("RH*-SHELCBR",[1]OUT_FinalEnergyCons!$A$4:$A$10000)))*1,[1]OUT_FinalEnergyCons!F$4:F$10000)</f>
        <v>9.7388465303343602E-7</v>
      </c>
      <c r="I2231" s="1" cm="1">
        <f t="array" ref="I2231">SUMPRODUCT(([1]OUT_FinalEnergyCons!$B$4:$B$10000="var_ncap")*1,(ISNUMBER(SEARCH("RH*-SHELCBR",[1]OUT_FinalEnergyCons!$A$4:$A$10000)))*1,[1]OUT_FinalEnergyCons!G$4:G$10000)</f>
        <v>2.0281466483828978E-6</v>
      </c>
      <c r="J2231" s="1" cm="1">
        <f t="array" ref="J2231">SUMPRODUCT(([1]OUT_FinalEnergyCons!$B$4:$B$10000="var_ncap")*1,(ISNUMBER(SEARCH("RH*-SHELCBR",[1]OUT_FinalEnergyCons!$A$4:$A$10000)))*1,[1]OUT_FinalEnergyCons!H$4:H$10000)</f>
        <v>3.767876454172E-4</v>
      </c>
      <c r="K2231" s="1" cm="1">
        <f t="array" ref="K2231">SUMPRODUCT(([1]OUT_FinalEnergyCons!$B$4:$B$10000="var_ncap")*1,(ISNUMBER(SEARCH("RH*-SHELCBR",[1]OUT_FinalEnergyCons!$A$4:$A$10000)))*1,[1]OUT_FinalEnergyCons!I$4:I$10000)</f>
        <v>1.328101488961531E-6</v>
      </c>
    </row>
    <row r="2232" spans="2:11" x14ac:dyDescent="0.35">
      <c r="B2232" s="5" t="str">
        <f t="shared" si="1311"/>
        <v>SPS3</v>
      </c>
      <c r="C2232" s="5" t="str">
        <f t="shared" si="1312"/>
        <v>CH</v>
      </c>
      <c r="D2232" t="s">
        <v>2378</v>
      </c>
      <c r="E2232" t="str">
        <f t="shared" si="1319"/>
        <v>GWth/yr.</v>
      </c>
      <c r="F2232" s="1" cm="1">
        <f t="array" ref="F2232">SUMPRODUCT(([1]OUT_FinalEnergyCons!$B$4:$B$10000="var_ncap")*1,ISNUMBER(SEARCH("RH*-SHELCHP",[1]OUT_FinalEnergyCons!$A$4:$A$10000))*1,[1]OUT_FinalEnergyCons!D$4:D$10000)</f>
        <v>1.6488821390562361E-6</v>
      </c>
      <c r="G2232" s="1" cm="1">
        <f t="array" ref="G2232">SUMPRODUCT(([1]OUT_FinalEnergyCons!$B$4:$B$10000="var_ncap")*1,ISNUMBER(SEARCH("RH*-SHELCHP",[1]OUT_FinalEnergyCons!$A$4:$A$10000))*1,[1]OUT_FinalEnergyCons!E$4:E$10000)</f>
        <v>0.22461469129899156</v>
      </c>
      <c r="H2232" s="1" cm="1">
        <f t="array" ref="H2232">SUMPRODUCT(([1]OUT_FinalEnergyCons!$B$4:$B$10000="var_ncap")*1,ISNUMBER(SEARCH("RH*-SHELCHP",[1]OUT_FinalEnergyCons!$A$4:$A$10000))*1,[1]OUT_FinalEnergyCons!F$4:F$10000)</f>
        <v>0.99404165765233432</v>
      </c>
      <c r="I2232" s="1" cm="1">
        <f t="array" ref="I2232">SUMPRODUCT(([1]OUT_FinalEnergyCons!$B$4:$B$10000="var_ncap")*1,ISNUMBER(SEARCH("RH*-SHELCHP",[1]OUT_FinalEnergyCons!$A$4:$A$10000))*1,[1]OUT_FinalEnergyCons!G$4:G$10000)</f>
        <v>1.1684258983321769</v>
      </c>
      <c r="J2232" s="1" cm="1">
        <f t="array" ref="J2232">SUMPRODUCT(([1]OUT_FinalEnergyCons!$B$4:$B$10000="var_ncap")*1,ISNUMBER(SEARCH("RH*-SHELCHP",[1]OUT_FinalEnergyCons!$A$4:$A$10000))*1,[1]OUT_FinalEnergyCons!H$4:H$10000)</f>
        <v>2.2387582467399896</v>
      </c>
      <c r="K2232" s="1" cm="1">
        <f t="array" ref="K2232">SUMPRODUCT(([1]OUT_FinalEnergyCons!$B$4:$B$10000="var_ncap")*1,ISNUMBER(SEARCH("RH*-SHELCHP",[1]OUT_FinalEnergyCons!$A$4:$A$10000))*1,[1]OUT_FinalEnergyCons!I$4:I$10000)</f>
        <v>2.1425783466024542</v>
      </c>
    </row>
    <row r="2233" spans="2:11" x14ac:dyDescent="0.35">
      <c r="B2233" s="5" t="str">
        <f t="shared" si="1311"/>
        <v>SPS3</v>
      </c>
      <c r="C2233" s="5" t="str">
        <f t="shared" si="1312"/>
        <v>CH</v>
      </c>
      <c r="D2233" t="s">
        <v>2379</v>
      </c>
      <c r="E2233" t="str">
        <f t="shared" si="1319"/>
        <v>GWth/yr.</v>
      </c>
      <c r="F2233" s="1">
        <f t="shared" ref="F2233:K2233" si="1320">F2234</f>
        <v>0</v>
      </c>
      <c r="G2233" s="1">
        <f t="shared" si="1320"/>
        <v>1.1167385172825135E-4</v>
      </c>
      <c r="H2233" s="1">
        <f t="shared" si="1320"/>
        <v>3.2632985032345858E-2</v>
      </c>
      <c r="I2233" s="1">
        <f t="shared" si="1320"/>
        <v>1.121955320482208E-6</v>
      </c>
      <c r="J2233" s="1">
        <f t="shared" si="1320"/>
        <v>0.12505879322792221</v>
      </c>
      <c r="K2233" s="1">
        <f t="shared" si="1320"/>
        <v>5.6330791516246895E-7</v>
      </c>
    </row>
    <row r="2234" spans="2:11" x14ac:dyDescent="0.35">
      <c r="B2234" s="5" t="str">
        <f t="shared" si="1311"/>
        <v>SPS3</v>
      </c>
      <c r="C2234" s="5" t="str">
        <f t="shared" si="1312"/>
        <v>CH</v>
      </c>
      <c r="D2234" t="s">
        <v>2380</v>
      </c>
      <c r="E2234" t="str">
        <f t="shared" si="1319"/>
        <v>GWth/yr.</v>
      </c>
      <c r="F2234" s="1" cm="1">
        <f t="array" ref="F2234">SUMPRODUCT(([1]OUT_FinalEnergyCons!$B$4:$B$10000="var_ncap")*1, (ISNUMBER(SEARCH("RH*-SHLFOBR",[1]OUT_FinalEnergyCons!$A$4:$A$10000)))*1,[1]OUT_FinalEnergyCons!D$4:D$10000)</f>
        <v>0</v>
      </c>
      <c r="G2234" s="1" cm="1">
        <f t="array" ref="G2234">SUMPRODUCT(([1]OUT_FinalEnergyCons!$B$4:$B$10000="var_ncap")*1, (ISNUMBER(SEARCH("RH*-SHLFOBR",[1]OUT_FinalEnergyCons!$A$4:$A$10000)))*1,[1]OUT_FinalEnergyCons!E$4:E$10000)</f>
        <v>1.1167385172825135E-4</v>
      </c>
      <c r="H2234" s="1" cm="1">
        <f t="array" ref="H2234">SUMPRODUCT(([1]OUT_FinalEnergyCons!$B$4:$B$10000="var_ncap")*1, (ISNUMBER(SEARCH("RH*-SHLFOBR",[1]OUT_FinalEnergyCons!$A$4:$A$10000)))*1,[1]OUT_FinalEnergyCons!F$4:F$10000)</f>
        <v>3.2632985032345858E-2</v>
      </c>
      <c r="I2234" s="1" cm="1">
        <f t="array" ref="I2234">SUMPRODUCT(([1]OUT_FinalEnergyCons!$B$4:$B$10000="var_ncap")*1, (ISNUMBER(SEARCH("RH*-SHLFOBR",[1]OUT_FinalEnergyCons!$A$4:$A$10000)))*1,[1]OUT_FinalEnergyCons!G$4:G$10000)</f>
        <v>1.121955320482208E-6</v>
      </c>
      <c r="J2234" s="1" cm="1">
        <f t="array" ref="J2234">SUMPRODUCT(([1]OUT_FinalEnergyCons!$B$4:$B$10000="var_ncap")*1, (ISNUMBER(SEARCH("RH*-SHLFOBR",[1]OUT_FinalEnergyCons!$A$4:$A$10000)))*1,[1]OUT_FinalEnergyCons!H$4:H$10000)</f>
        <v>0.12505879322792221</v>
      </c>
      <c r="K2234" s="1" cm="1">
        <f t="array" ref="K2234">SUMPRODUCT(([1]OUT_FinalEnergyCons!$B$4:$B$10000="var_ncap")*1, (ISNUMBER(SEARCH("RH*-SHLFOBR",[1]OUT_FinalEnergyCons!$A$4:$A$10000)))*1,[1]OUT_FinalEnergyCons!I$4:I$10000)</f>
        <v>5.6330791516246895E-7</v>
      </c>
    </row>
    <row r="2235" spans="2:11" x14ac:dyDescent="0.35">
      <c r="B2235" s="5" t="str">
        <f t="shared" si="1311"/>
        <v>SPS3</v>
      </c>
      <c r="C2235" s="5" t="str">
        <f t="shared" si="1312"/>
        <v>CH</v>
      </c>
      <c r="D2235" t="s">
        <v>2381</v>
      </c>
      <c r="E2235" t="str">
        <f t="shared" si="1319"/>
        <v>GWth/yr.</v>
      </c>
      <c r="F2235" s="1">
        <f t="shared" ref="F2235:K2235" si="1321">SUM(F2236:F2237)</f>
        <v>2.5230523493836002E-7</v>
      </c>
      <c r="G2235" s="1">
        <f t="shared" si="1321"/>
        <v>0.16868128493308499</v>
      </c>
      <c r="H2235" s="1">
        <f t="shared" si="1321"/>
        <v>0.35092245565009317</v>
      </c>
      <c r="I2235" s="1">
        <f t="shared" si="1321"/>
        <v>0.18668982146287619</v>
      </c>
      <c r="J2235" s="1">
        <f t="shared" si="1321"/>
        <v>0.51157359865976282</v>
      </c>
      <c r="K2235" s="1">
        <f t="shared" si="1321"/>
        <v>0.19134806274594354</v>
      </c>
    </row>
    <row r="2236" spans="2:11" x14ac:dyDescent="0.35">
      <c r="B2236" s="5" t="str">
        <f t="shared" si="1311"/>
        <v>SPS3</v>
      </c>
      <c r="C2236" s="5" t="str">
        <f t="shared" si="1312"/>
        <v>CH</v>
      </c>
      <c r="D2236" t="s">
        <v>2382</v>
      </c>
      <c r="E2236" t="str">
        <f t="shared" si="1319"/>
        <v>GWth/yr.</v>
      </c>
      <c r="F2236" s="1" cm="1">
        <f t="array" ref="F2236">SUMPRODUCT(([1]OUT_FinalEnergyCons!$B$4:$B$10000="var_ncap")*1, (ISNUMBER(SEARCH("RH*-SHNGABR",[1]OUT_FinalEnergyCons!$A$4:$A$10000)))*1,[1]OUT_FinalEnergyCons!D$4:D$10000)</f>
        <v>0</v>
      </c>
      <c r="G2236" s="1" cm="1">
        <f t="array" ref="G2236">SUMPRODUCT(([1]OUT_FinalEnergyCons!$B$4:$B$10000="var_ncap")*1, (ISNUMBER(SEARCH("RH*-SHNGABR",[1]OUT_FinalEnergyCons!$A$4:$A$10000)))*1,[1]OUT_FinalEnergyCons!E$4:E$10000)</f>
        <v>0.16867504158682514</v>
      </c>
      <c r="H2236" s="1" cm="1">
        <f t="array" ref="H2236">SUMPRODUCT(([1]OUT_FinalEnergyCons!$B$4:$B$10000="var_ncap")*1, (ISNUMBER(SEARCH("RH*-SHNGABR",[1]OUT_FinalEnergyCons!$A$4:$A$10000)))*1,[1]OUT_FinalEnergyCons!F$4:F$10000)</f>
        <v>3.0593748896356222E-2</v>
      </c>
      <c r="I2236" s="1" cm="1">
        <f t="array" ref="I2236">SUMPRODUCT(([1]OUT_FinalEnergyCons!$B$4:$B$10000="var_ncap")*1, (ISNUMBER(SEARCH("RH*-SHNGABR",[1]OUT_FinalEnergyCons!$A$4:$A$10000)))*1,[1]OUT_FinalEnergyCons!G$4:G$10000)</f>
        <v>4.4407571041842019E-6</v>
      </c>
      <c r="J2236" s="1" cm="1">
        <f t="array" ref="J2236">SUMPRODUCT(([1]OUT_FinalEnergyCons!$B$4:$B$10000="var_ncap")*1, (ISNUMBER(SEARCH("RH*-SHNGABR",[1]OUT_FinalEnergyCons!$A$4:$A$10000)))*1,[1]OUT_FinalEnergyCons!H$4:H$10000)</f>
        <v>0.153864886493706</v>
      </c>
      <c r="K2236" s="1" cm="1">
        <f t="array" ref="K2236">SUMPRODUCT(([1]OUT_FinalEnergyCons!$B$4:$B$10000="var_ncap")*1, (ISNUMBER(SEARCH("RH*-SHNGABR",[1]OUT_FinalEnergyCons!$A$4:$A$10000)))*1,[1]OUT_FinalEnergyCons!I$4:I$10000)</f>
        <v>7.7377829705237083E-6</v>
      </c>
    </row>
    <row r="2237" spans="2:11" x14ac:dyDescent="0.35">
      <c r="B2237" s="5" t="str">
        <f t="shared" si="1311"/>
        <v>SPS3</v>
      </c>
      <c r="C2237" s="5" t="str">
        <f t="shared" si="1312"/>
        <v>CH</v>
      </c>
      <c r="D2237" t="s">
        <v>2383</v>
      </c>
      <c r="E2237" t="str">
        <f t="shared" si="1319"/>
        <v>GWth/yr.</v>
      </c>
      <c r="F2237" s="1" cm="1">
        <f t="array" ref="F2237">SUMPRODUCT(([1]OUT_FinalEnergyCons!$B$4:$B$10000="var_ncap")*1,ISNUMBER(SEARCH("RH*-SHngahp",[1]OUT_FinalEnergyCons!$A$4:$A$10000))*1,[1]OUT_FinalEnergyCons!D$4:D$10000)</f>
        <v>2.5230523493836002E-7</v>
      </c>
      <c r="G2237" s="1" cm="1">
        <f t="array" ref="G2237">SUMPRODUCT(([1]OUT_FinalEnergyCons!$B$4:$B$10000="var_ncap")*1,ISNUMBER(SEARCH("RH*-SHngahp",[1]OUT_FinalEnergyCons!$A$4:$A$10000))*1,[1]OUT_FinalEnergyCons!E$4:E$10000)</f>
        <v>6.2433462598474143E-6</v>
      </c>
      <c r="H2237" s="1" cm="1">
        <f t="array" ref="H2237">SUMPRODUCT(([1]OUT_FinalEnergyCons!$B$4:$B$10000="var_ncap")*1,ISNUMBER(SEARCH("RH*-SHngahp",[1]OUT_FinalEnergyCons!$A$4:$A$10000))*1,[1]OUT_FinalEnergyCons!F$4:F$10000)</f>
        <v>0.32032870675373692</v>
      </c>
      <c r="I2237" s="1" cm="1">
        <f t="array" ref="I2237">SUMPRODUCT(([1]OUT_FinalEnergyCons!$B$4:$B$10000="var_ncap")*1,ISNUMBER(SEARCH("RH*-SHngahp",[1]OUT_FinalEnergyCons!$A$4:$A$10000))*1,[1]OUT_FinalEnergyCons!G$4:G$10000)</f>
        <v>0.18668538070577201</v>
      </c>
      <c r="J2237" s="1" cm="1">
        <f t="array" ref="J2237">SUMPRODUCT(([1]OUT_FinalEnergyCons!$B$4:$B$10000="var_ncap")*1,ISNUMBER(SEARCH("RH*-SHngahp",[1]OUT_FinalEnergyCons!$A$4:$A$10000))*1,[1]OUT_FinalEnergyCons!H$4:H$10000)</f>
        <v>0.35770871216605682</v>
      </c>
      <c r="K2237" s="1" cm="1">
        <f t="array" ref="K2237">SUMPRODUCT(([1]OUT_FinalEnergyCons!$B$4:$B$10000="var_ncap")*1,ISNUMBER(SEARCH("RH*-SHngahp",[1]OUT_FinalEnergyCons!$A$4:$A$10000))*1,[1]OUT_FinalEnergyCons!I$4:I$10000)</f>
        <v>0.19134032496297301</v>
      </c>
    </row>
    <row r="2238" spans="2:11" x14ac:dyDescent="0.35">
      <c r="B2238" s="5" t="str">
        <f t="shared" ref="B2238:B2301" si="1322">B2237</f>
        <v>SPS3</v>
      </c>
      <c r="C2238" s="5" t="str">
        <f t="shared" ref="C2238:C2301" si="1323">C2237</f>
        <v>CH</v>
      </c>
      <c r="D2238" t="s">
        <v>2384</v>
      </c>
      <c r="E2238" t="str">
        <f t="shared" si="1319"/>
        <v>GWth/yr.</v>
      </c>
      <c r="F2238" s="1">
        <f t="shared" ref="F2238:K2238" si="1324">F2239</f>
        <v>0</v>
      </c>
      <c r="G2238" s="1">
        <f t="shared" si="1324"/>
        <v>0</v>
      </c>
      <c r="H2238" s="1">
        <f t="shared" si="1324"/>
        <v>0</v>
      </c>
      <c r="I2238" s="1">
        <f t="shared" si="1324"/>
        <v>0</v>
      </c>
      <c r="J2238" s="1">
        <f t="shared" si="1324"/>
        <v>0</v>
      </c>
      <c r="K2238" s="1">
        <f t="shared" si="1324"/>
        <v>0</v>
      </c>
    </row>
    <row r="2239" spans="2:11" x14ac:dyDescent="0.35">
      <c r="B2239" s="5" t="str">
        <f t="shared" si="1322"/>
        <v>SPS3</v>
      </c>
      <c r="C2239" s="5" t="str">
        <f t="shared" si="1323"/>
        <v>CH</v>
      </c>
      <c r="D2239" t="s">
        <v>2385</v>
      </c>
      <c r="E2239" t="str">
        <f t="shared" si="1319"/>
        <v>GWth/yr.</v>
      </c>
      <c r="F2239" s="1" cm="1">
        <f t="array" ref="F2239">SUMPRODUCT(([1]OUT_FinalEnergyCons!$B$4:$B$10000="var_ncap")*1, (ISNUMBER(SEARCH("RH*-SHCOABR",[1]OUT_FinalEnergyCons!$A$4:$A$10000)))*1,[1]OUT_FinalEnergyCons!D$4:D$10000)</f>
        <v>0</v>
      </c>
      <c r="G2239" s="1" cm="1">
        <f t="array" ref="G2239">SUMPRODUCT(([1]OUT_FinalEnergyCons!$B$4:$B$10000="var_ncap")*1, (ISNUMBER(SEARCH("RH*-SHCOABR",[1]OUT_FinalEnergyCons!$A$4:$A$10000)))*1,[1]OUT_FinalEnergyCons!E$4:E$10000)</f>
        <v>0</v>
      </c>
      <c r="H2239" s="1" cm="1">
        <f t="array" ref="H2239">SUMPRODUCT(([1]OUT_FinalEnergyCons!$B$4:$B$10000="var_ncap")*1, (ISNUMBER(SEARCH("RH*-SHCOABR",[1]OUT_FinalEnergyCons!$A$4:$A$10000)))*1,[1]OUT_FinalEnergyCons!F$4:F$10000)</f>
        <v>0</v>
      </c>
      <c r="I2239" s="1" cm="1">
        <f t="array" ref="I2239">SUMPRODUCT(([1]OUT_FinalEnergyCons!$B$4:$B$10000="var_ncap")*1, (ISNUMBER(SEARCH("RH*-SHCOABR",[1]OUT_FinalEnergyCons!$A$4:$A$10000)))*1,[1]OUT_FinalEnergyCons!G$4:G$10000)</f>
        <v>0</v>
      </c>
      <c r="J2239" s="1" cm="1">
        <f t="array" ref="J2239">SUMPRODUCT(([1]OUT_FinalEnergyCons!$B$4:$B$10000="var_ncap")*1, (ISNUMBER(SEARCH("RH*-SHCOABR",[1]OUT_FinalEnergyCons!$A$4:$A$10000)))*1,[1]OUT_FinalEnergyCons!H$4:H$10000)</f>
        <v>0</v>
      </c>
      <c r="K2239" s="1" cm="1">
        <f t="array" ref="K2239">SUMPRODUCT(([1]OUT_FinalEnergyCons!$B$4:$B$10000="var_ncap")*1, (ISNUMBER(SEARCH("RH*-SHCOABR",[1]OUT_FinalEnergyCons!$A$4:$A$10000)))*1,[1]OUT_FinalEnergyCons!I$4:I$10000)</f>
        <v>0</v>
      </c>
    </row>
    <row r="2240" spans="2:11" x14ac:dyDescent="0.35">
      <c r="B2240" s="5" t="str">
        <f t="shared" si="1322"/>
        <v>SPS3</v>
      </c>
      <c r="C2240" s="5" t="str">
        <f t="shared" si="1323"/>
        <v>CH</v>
      </c>
      <c r="D2240" t="s">
        <v>2386</v>
      </c>
      <c r="E2240" t="str">
        <f t="shared" si="1319"/>
        <v>GWth/yr.</v>
      </c>
      <c r="F2240" s="1">
        <f t="shared" ref="F2240:K2240" si="1325">F2241</f>
        <v>3.2537972483695599E-6</v>
      </c>
      <c r="G2240" s="1">
        <f t="shared" si="1325"/>
        <v>6.0691117233129699E-2</v>
      </c>
      <c r="H2240" s="1">
        <f t="shared" si="1325"/>
        <v>3.4964012229050864E-2</v>
      </c>
      <c r="I2240" s="1">
        <f t="shared" si="1325"/>
        <v>2.1575381093962388E-6</v>
      </c>
      <c r="J2240" s="1">
        <f t="shared" si="1325"/>
        <v>0.1022709538605209</v>
      </c>
      <c r="K2240" s="1">
        <f t="shared" si="1325"/>
        <v>1.2743448897808741E-6</v>
      </c>
    </row>
    <row r="2241" spans="2:11" x14ac:dyDescent="0.35">
      <c r="B2241" s="5" t="str">
        <f t="shared" si="1322"/>
        <v>SPS3</v>
      </c>
      <c r="C2241" s="5" t="str">
        <f t="shared" si="1323"/>
        <v>CH</v>
      </c>
      <c r="D2241" t="s">
        <v>2387</v>
      </c>
      <c r="E2241" t="str">
        <f t="shared" si="1319"/>
        <v>GWth/yr.</v>
      </c>
      <c r="F2241" s="1" cm="1">
        <f t="array" ref="F2241">SUMPRODUCT(([1]OUT_FinalEnergyCons!$B$4:$B$10000="var_ncap")*1, (ISNUMBER(SEARCH("RH*-SHWODBR",[1]OUT_FinalEnergyCons!$A$4:$A$10000)))*1,[1]OUT_FinalEnergyCons!D$4:D$10000)</f>
        <v>3.2537972483695599E-6</v>
      </c>
      <c r="G2241" s="1" cm="1">
        <f t="array" ref="G2241">SUMPRODUCT(([1]OUT_FinalEnergyCons!$B$4:$B$10000="var_ncap")*1, (ISNUMBER(SEARCH("RH*-SHWODBR",[1]OUT_FinalEnergyCons!$A$4:$A$10000)))*1,[1]OUT_FinalEnergyCons!E$4:E$10000)</f>
        <v>6.0691117233129699E-2</v>
      </c>
      <c r="H2241" s="1" cm="1">
        <f t="array" ref="H2241">SUMPRODUCT(([1]OUT_FinalEnergyCons!$B$4:$B$10000="var_ncap")*1, (ISNUMBER(SEARCH("RH*-SHWODBR",[1]OUT_FinalEnergyCons!$A$4:$A$10000)))*1,[1]OUT_FinalEnergyCons!F$4:F$10000)</f>
        <v>3.4964012229050864E-2</v>
      </c>
      <c r="I2241" s="1" cm="1">
        <f t="array" ref="I2241">SUMPRODUCT(([1]OUT_FinalEnergyCons!$B$4:$B$10000="var_ncap")*1, (ISNUMBER(SEARCH("RH*-SHWODBR",[1]OUT_FinalEnergyCons!$A$4:$A$10000)))*1,[1]OUT_FinalEnergyCons!G$4:G$10000)</f>
        <v>2.1575381093962388E-6</v>
      </c>
      <c r="J2241" s="1" cm="1">
        <f t="array" ref="J2241">SUMPRODUCT(([1]OUT_FinalEnergyCons!$B$4:$B$10000="var_ncap")*1, (ISNUMBER(SEARCH("RH*-SHWODBR",[1]OUT_FinalEnergyCons!$A$4:$A$10000)))*1,[1]OUT_FinalEnergyCons!H$4:H$10000)</f>
        <v>0.1022709538605209</v>
      </c>
      <c r="K2241" s="1" cm="1">
        <f t="array" ref="K2241">SUMPRODUCT(([1]OUT_FinalEnergyCons!$B$4:$B$10000="var_ncap")*1, (ISNUMBER(SEARCH("RH*-SHWODBR",[1]OUT_FinalEnergyCons!$A$4:$A$10000)))*1,[1]OUT_FinalEnergyCons!I$4:I$10000)</f>
        <v>1.2743448897808741E-6</v>
      </c>
    </row>
    <row r="2242" spans="2:11" x14ac:dyDescent="0.35">
      <c r="B2242" s="5" t="str">
        <f t="shared" si="1322"/>
        <v>SPS3</v>
      </c>
      <c r="C2242" s="5" t="str">
        <f t="shared" si="1323"/>
        <v>CH</v>
      </c>
      <c r="D2242" t="s">
        <v>2388</v>
      </c>
      <c r="E2242" t="str">
        <f t="shared" si="1319"/>
        <v>GWth/yr.</v>
      </c>
      <c r="F2242" s="1">
        <f t="shared" ref="F2242:K2242" si="1326">F2243</f>
        <v>9.6736401064068007E-6</v>
      </c>
      <c r="G2242" s="1">
        <f t="shared" si="1326"/>
        <v>3.5961892217981954E-2</v>
      </c>
      <c r="H2242" s="1">
        <f t="shared" si="1326"/>
        <v>7.0809198921311192E-5</v>
      </c>
      <c r="I2242" s="1">
        <f t="shared" si="1326"/>
        <v>4.2325537615085261E-5</v>
      </c>
      <c r="J2242" s="1">
        <f t="shared" si="1326"/>
        <v>3.6216797734108588E-3</v>
      </c>
      <c r="K2242" s="1">
        <f t="shared" si="1326"/>
        <v>8.9912241679626306E-7</v>
      </c>
    </row>
    <row r="2243" spans="2:11" x14ac:dyDescent="0.35">
      <c r="B2243" s="5" t="str">
        <f t="shared" si="1322"/>
        <v>SPS3</v>
      </c>
      <c r="C2243" s="5" t="str">
        <f t="shared" si="1323"/>
        <v>CH</v>
      </c>
      <c r="D2243" t="s">
        <v>2389</v>
      </c>
      <c r="E2243" t="str">
        <f t="shared" si="1319"/>
        <v>GWth/yr.</v>
      </c>
      <c r="F2243" s="1" cm="1">
        <f t="array" ref="F2243">SUMPRODUCT(([1]OUT_FinalEnergyCons!$B$4:$B$10000="var_ncap")*1, (ISNUMBER(SEARCH("RH*-SHPLTBR",[1]OUT_FinalEnergyCons!$A$4:$A$10000)))*1,[1]OUT_FinalEnergyCons!D$4:D$10000)</f>
        <v>9.6736401064068007E-6</v>
      </c>
      <c r="G2243" s="1" cm="1">
        <f t="array" ref="G2243">SUMPRODUCT(([1]OUT_FinalEnergyCons!$B$4:$B$10000="var_ncap")*1, (ISNUMBER(SEARCH("RH*-SHPLTBR",[1]OUT_FinalEnergyCons!$A$4:$A$10000)))*1,[1]OUT_FinalEnergyCons!E$4:E$10000)</f>
        <v>3.5961892217981954E-2</v>
      </c>
      <c r="H2243" s="1" cm="1">
        <f t="array" ref="H2243">SUMPRODUCT(([1]OUT_FinalEnergyCons!$B$4:$B$10000="var_ncap")*1, (ISNUMBER(SEARCH("RH*-SHPLTBR",[1]OUT_FinalEnergyCons!$A$4:$A$10000)))*1,[1]OUT_FinalEnergyCons!F$4:F$10000)</f>
        <v>7.0809198921311192E-5</v>
      </c>
      <c r="I2243" s="1" cm="1">
        <f t="array" ref="I2243">SUMPRODUCT(([1]OUT_FinalEnergyCons!$B$4:$B$10000="var_ncap")*1, (ISNUMBER(SEARCH("RH*-SHPLTBR",[1]OUT_FinalEnergyCons!$A$4:$A$10000)))*1,[1]OUT_FinalEnergyCons!G$4:G$10000)</f>
        <v>4.2325537615085261E-5</v>
      </c>
      <c r="J2243" s="1" cm="1">
        <f t="array" ref="J2243">SUMPRODUCT(([1]OUT_FinalEnergyCons!$B$4:$B$10000="var_ncap")*1, (ISNUMBER(SEARCH("RH*-SHPLTBR",[1]OUT_FinalEnergyCons!$A$4:$A$10000)))*1,[1]OUT_FinalEnergyCons!H$4:H$10000)</f>
        <v>3.6216797734108588E-3</v>
      </c>
      <c r="K2243" s="1" cm="1">
        <f t="array" ref="K2243">SUMPRODUCT(([1]OUT_FinalEnergyCons!$B$4:$B$10000="var_ncap")*1, (ISNUMBER(SEARCH("RH*-SHPLTBR",[1]OUT_FinalEnergyCons!$A$4:$A$10000)))*1,[1]OUT_FinalEnergyCons!I$4:I$10000)</f>
        <v>8.9912241679626306E-7</v>
      </c>
    </row>
    <row r="2244" spans="2:11" x14ac:dyDescent="0.35">
      <c r="B2244" s="5" t="str">
        <f t="shared" si="1322"/>
        <v>SPS3</v>
      </c>
      <c r="C2244" s="5" t="str">
        <f t="shared" si="1323"/>
        <v>CH</v>
      </c>
      <c r="D2244" t="s">
        <v>2390</v>
      </c>
      <c r="E2244" t="str">
        <f t="shared" si="1319"/>
        <v>GWth/yr.</v>
      </c>
      <c r="F2244" s="1">
        <f t="shared" ref="F2244:K2244" si="1327">F2245</f>
        <v>2.9498208823400799E-5</v>
      </c>
      <c r="G2244" s="1">
        <f t="shared" si="1327"/>
        <v>2.2821293764310999E-2</v>
      </c>
      <c r="H2244" s="1">
        <f t="shared" si="1327"/>
        <v>8.8409817240039801E-5</v>
      </c>
      <c r="I2244" s="1">
        <f t="shared" si="1327"/>
        <v>5.3744131410914552E-5</v>
      </c>
      <c r="J2244" s="1">
        <f t="shared" si="1327"/>
        <v>7.835106488668515E-3</v>
      </c>
      <c r="K2244" s="1">
        <f t="shared" si="1327"/>
        <v>2.1538668892093537E-3</v>
      </c>
    </row>
    <row r="2245" spans="2:11" x14ac:dyDescent="0.35">
      <c r="B2245" s="5" t="str">
        <f t="shared" si="1322"/>
        <v>SPS3</v>
      </c>
      <c r="C2245" s="5" t="str">
        <f t="shared" si="1323"/>
        <v>CH</v>
      </c>
      <c r="D2245" t="s">
        <v>2391</v>
      </c>
      <c r="E2245" t="str">
        <f t="shared" si="1319"/>
        <v>GWth/yr.</v>
      </c>
      <c r="F2245" s="1" cm="1">
        <f t="array" ref="F2245">SUMPRODUCT(([1]OUT_FinalEnergyCons!$B$4:$B$10000="var_ncap")*1, (ISNUMBER(SEARCH("RH*-SHSOLBR",[1]OUT_FinalEnergyCons!$A$4:$A$10000)))*1,[1]OUT_FinalEnergyCons!D$4:D$10000)</f>
        <v>2.9498208823400799E-5</v>
      </c>
      <c r="G2245" s="1" cm="1">
        <f t="array" ref="G2245">SUMPRODUCT(([1]OUT_FinalEnergyCons!$B$4:$B$10000="var_ncap")*1, (ISNUMBER(SEARCH("RH*-SHSOLBR",[1]OUT_FinalEnergyCons!$A$4:$A$10000)))*1,[1]OUT_FinalEnergyCons!E$4:E$10000)</f>
        <v>2.2821293764310999E-2</v>
      </c>
      <c r="H2245" s="1" cm="1">
        <f t="array" ref="H2245">SUMPRODUCT(([1]OUT_FinalEnergyCons!$B$4:$B$10000="var_ncap")*1, (ISNUMBER(SEARCH("RH*-SHSOLBR",[1]OUT_FinalEnergyCons!$A$4:$A$10000)))*1,[1]OUT_FinalEnergyCons!F$4:F$10000)</f>
        <v>8.8409817240039801E-5</v>
      </c>
      <c r="I2245" s="1" cm="1">
        <f t="array" ref="I2245">SUMPRODUCT(([1]OUT_FinalEnergyCons!$B$4:$B$10000="var_ncap")*1, (ISNUMBER(SEARCH("RH*-SHSOLBR",[1]OUT_FinalEnergyCons!$A$4:$A$10000)))*1,[1]OUT_FinalEnergyCons!G$4:G$10000)</f>
        <v>5.3744131410914552E-5</v>
      </c>
      <c r="J2245" s="1" cm="1">
        <f t="array" ref="J2245">SUMPRODUCT(([1]OUT_FinalEnergyCons!$B$4:$B$10000="var_ncap")*1, (ISNUMBER(SEARCH("RH*-SHSOLBR",[1]OUT_FinalEnergyCons!$A$4:$A$10000)))*1,[1]OUT_FinalEnergyCons!H$4:H$10000)</f>
        <v>7.835106488668515E-3</v>
      </c>
      <c r="K2245" s="1" cm="1">
        <f t="array" ref="K2245">SUMPRODUCT(([1]OUT_FinalEnergyCons!$B$4:$B$10000="var_ncap")*1, (ISNUMBER(SEARCH("RH*-SHSOLBR",[1]OUT_FinalEnergyCons!$A$4:$A$10000)))*1,[1]OUT_FinalEnergyCons!I$4:I$10000)</f>
        <v>2.1538668892093537E-3</v>
      </c>
    </row>
    <row r="2246" spans="2:11" x14ac:dyDescent="0.35">
      <c r="B2246" s="5" t="str">
        <f t="shared" si="1322"/>
        <v>SPS3</v>
      </c>
      <c r="C2246" s="5" t="str">
        <f t="shared" si="1323"/>
        <v>CH</v>
      </c>
      <c r="D2246" t="s">
        <v>2392</v>
      </c>
      <c r="E2246" t="str">
        <f t="shared" si="1319"/>
        <v>GWth/yr.</v>
      </c>
      <c r="F2246" s="1">
        <f t="shared" ref="F2246:K2246" si="1328">F2247</f>
        <v>0</v>
      </c>
      <c r="G2246" s="1">
        <f t="shared" si="1328"/>
        <v>0</v>
      </c>
      <c r="H2246" s="1">
        <f t="shared" si="1328"/>
        <v>0</v>
      </c>
      <c r="I2246" s="1">
        <f t="shared" si="1328"/>
        <v>0</v>
      </c>
      <c r="J2246" s="1">
        <f t="shared" si="1328"/>
        <v>0</v>
      </c>
      <c r="K2246" s="1">
        <f t="shared" si="1328"/>
        <v>0</v>
      </c>
    </row>
    <row r="2247" spans="2:11" x14ac:dyDescent="0.35">
      <c r="B2247" s="5" t="str">
        <f t="shared" si="1322"/>
        <v>SPS3</v>
      </c>
      <c r="C2247" s="5" t="str">
        <f t="shared" si="1323"/>
        <v>CH</v>
      </c>
      <c r="D2247" t="s">
        <v>2393</v>
      </c>
      <c r="E2247" t="str">
        <f t="shared" si="1319"/>
        <v>GWth/yr.</v>
      </c>
      <c r="F2247" s="1" cm="1">
        <f t="array" ref="F2247">SUMPRODUCT(([1]OUT_FinalEnergyCons!$B$4:$B$10000="var_ncap")*1, (ISNUMBER(SEARCH("RH*-SHH2BR",[1]OUT_FinalEnergyCons!$A$4:$A$10000)))*1,[1]OUT_FinalEnergyCons!D$4:D$10000)</f>
        <v>0</v>
      </c>
      <c r="G2247" s="1" cm="1">
        <f t="array" ref="G2247">SUMPRODUCT(([1]OUT_FinalEnergyCons!$B$4:$B$10000="var_ncap")*1, (ISNUMBER(SEARCH("RH*-SHH2BR",[1]OUT_FinalEnergyCons!$A$4:$A$10000)))*1,[1]OUT_FinalEnergyCons!E$4:E$10000)</f>
        <v>0</v>
      </c>
      <c r="H2247" s="1" cm="1">
        <f t="array" ref="H2247">SUMPRODUCT(([1]OUT_FinalEnergyCons!$B$4:$B$10000="var_ncap")*1, (ISNUMBER(SEARCH("RH*-SHH2BR",[1]OUT_FinalEnergyCons!$A$4:$A$10000)))*1,[1]OUT_FinalEnergyCons!F$4:F$10000)</f>
        <v>0</v>
      </c>
      <c r="I2247" s="1" cm="1">
        <f t="array" ref="I2247">SUMPRODUCT(([1]OUT_FinalEnergyCons!$B$4:$B$10000="var_ncap")*1, (ISNUMBER(SEARCH("RH*-SHH2BR",[1]OUT_FinalEnergyCons!$A$4:$A$10000)))*1,[1]OUT_FinalEnergyCons!G$4:G$10000)</f>
        <v>0</v>
      </c>
      <c r="J2247" s="1" cm="1">
        <f t="array" ref="J2247">SUMPRODUCT(([1]OUT_FinalEnergyCons!$B$4:$B$10000="var_ncap")*1, (ISNUMBER(SEARCH("RH*-SHH2BR",[1]OUT_FinalEnergyCons!$A$4:$A$10000)))*1,[1]OUT_FinalEnergyCons!H$4:H$10000)</f>
        <v>0</v>
      </c>
      <c r="K2247" s="1" cm="1">
        <f t="array" ref="K2247">SUMPRODUCT(([1]OUT_FinalEnergyCons!$B$4:$B$10000="var_ncap")*1, (ISNUMBER(SEARCH("RH*-SHH2BR",[1]OUT_FinalEnergyCons!$A$4:$A$10000)))*1,[1]OUT_FinalEnergyCons!I$4:I$10000)</f>
        <v>0</v>
      </c>
    </row>
    <row r="2248" spans="2:11" x14ac:dyDescent="0.35">
      <c r="B2248" s="5" t="str">
        <f t="shared" si="1322"/>
        <v>SPS3</v>
      </c>
      <c r="C2248" s="5" t="str">
        <f t="shared" si="1323"/>
        <v>CH</v>
      </c>
      <c r="D2248" t="s">
        <v>2394</v>
      </c>
      <c r="E2248" t="str">
        <f t="shared" si="1319"/>
        <v>GWth/yr.</v>
      </c>
      <c r="F2248" s="1">
        <f t="shared" ref="F2248:K2248" si="1329">SUM(F2249,F2252,F2254,F2257,F2259,F2261,F2263,F2265)</f>
        <v>3.0964154078571181E-5</v>
      </c>
      <c r="G2248" s="1">
        <f t="shared" si="1329"/>
        <v>0.15933010933032982</v>
      </c>
      <c r="H2248" s="1">
        <f t="shared" si="1329"/>
        <v>0.19947132890805599</v>
      </c>
      <c r="I2248" s="1">
        <f t="shared" si="1329"/>
        <v>0.41566097132221541</v>
      </c>
      <c r="J2248" s="1">
        <f t="shared" si="1329"/>
        <v>1.0202870909866939</v>
      </c>
      <c r="K2248" s="1">
        <f t="shared" si="1329"/>
        <v>1.222515751920189</v>
      </c>
    </row>
    <row r="2249" spans="2:11" x14ac:dyDescent="0.35">
      <c r="B2249" s="5" t="str">
        <f t="shared" si="1322"/>
        <v>SPS3</v>
      </c>
      <c r="C2249" s="5" t="str">
        <f t="shared" si="1323"/>
        <v>CH</v>
      </c>
      <c r="D2249" t="s">
        <v>2395</v>
      </c>
      <c r="E2249" t="str">
        <f t="shared" si="1319"/>
        <v>GWth/yr.</v>
      </c>
      <c r="F2249" s="1">
        <f t="shared" ref="F2249:K2249" si="1330">SUM(F2250:F2251)</f>
        <v>3.0964154078571181E-5</v>
      </c>
      <c r="G2249" s="1">
        <f t="shared" si="1330"/>
        <v>6.7868637495217293E-2</v>
      </c>
      <c r="H2249" s="1">
        <f t="shared" si="1330"/>
        <v>0.10186991787783409</v>
      </c>
      <c r="I2249" s="1">
        <f t="shared" si="1330"/>
        <v>0.26425107098262818</v>
      </c>
      <c r="J2249" s="1">
        <f t="shared" si="1330"/>
        <v>0.58510276809765194</v>
      </c>
      <c r="K2249" s="1">
        <f t="shared" si="1330"/>
        <v>0.67518966498270927</v>
      </c>
    </row>
    <row r="2250" spans="2:11" x14ac:dyDescent="0.35">
      <c r="B2250" s="5" t="str">
        <f t="shared" si="1322"/>
        <v>SPS3</v>
      </c>
      <c r="C2250" s="5" t="str">
        <f t="shared" si="1323"/>
        <v>CH</v>
      </c>
      <c r="D2250" t="s">
        <v>2396</v>
      </c>
      <c r="E2250" t="str">
        <f t="shared" si="1319"/>
        <v>GWth/yr.</v>
      </c>
      <c r="F2250" s="1" cm="1">
        <f t="array" ref="F2250">SUMPRODUCT(([1]OUT_FinalEnergyCons!$B$4:$B$10000="var_ncap")*1,(ISNUMBER(SEARCH("RH*-WHELCBR",[1]OUT_FinalEnergyCons!$A$4:$A$10000)))*1,[1]OUT_FinalEnergyCons!D$4:D$10000)</f>
        <v>2.7867821233949801E-5</v>
      </c>
      <c r="G2250" s="1" cm="1">
        <f t="array" ref="G2250">SUMPRODUCT(([1]OUT_FinalEnergyCons!$B$4:$B$10000="var_ncap")*1,(ISNUMBER(SEARCH("RH*-WHELCBR",[1]OUT_FinalEnergyCons!$A$4:$A$10000)))*1,[1]OUT_FinalEnergyCons!E$4:E$10000)</f>
        <v>3.5080454283837402E-2</v>
      </c>
      <c r="H2250" s="1" cm="1">
        <f t="array" ref="H2250">SUMPRODUCT(([1]OUT_FinalEnergyCons!$B$4:$B$10000="var_ncap")*1,(ISNUMBER(SEARCH("RH*-WHELCBR",[1]OUT_FinalEnergyCons!$A$4:$A$10000)))*1,[1]OUT_FinalEnergyCons!F$4:F$10000)</f>
        <v>6.0167613508128703E-7</v>
      </c>
      <c r="I2250" s="1" cm="1">
        <f t="array" ref="I2250">SUMPRODUCT(([1]OUT_FinalEnergyCons!$B$4:$B$10000="var_ncap")*1,(ISNUMBER(SEARCH("RH*-WHELCBR",[1]OUT_FinalEnergyCons!$A$4:$A$10000)))*1,[1]OUT_FinalEnergyCons!G$4:G$10000)</f>
        <v>1.0325037291890399E-6</v>
      </c>
      <c r="J2250" s="1" cm="1">
        <f t="array" ref="J2250">SUMPRODUCT(([1]OUT_FinalEnergyCons!$B$4:$B$10000="var_ncap")*1,(ISNUMBER(SEARCH("RH*-WHELCBR",[1]OUT_FinalEnergyCons!$A$4:$A$10000)))*1,[1]OUT_FinalEnergyCons!H$4:H$10000)</f>
        <v>0.13421817228038499</v>
      </c>
      <c r="K2250" s="1" cm="1">
        <f t="array" ref="K2250">SUMPRODUCT(([1]OUT_FinalEnergyCons!$B$4:$B$10000="var_ncap")*1,(ISNUMBER(SEARCH("RH*-WHELCBR",[1]OUT_FinalEnergyCons!$A$4:$A$10000)))*1,[1]OUT_FinalEnergyCons!I$4:I$10000)</f>
        <v>3.2040026916489203E-2</v>
      </c>
    </row>
    <row r="2251" spans="2:11" x14ac:dyDescent="0.35">
      <c r="B2251" s="5" t="str">
        <f t="shared" si="1322"/>
        <v>SPS3</v>
      </c>
      <c r="C2251" s="5" t="str">
        <f t="shared" si="1323"/>
        <v>CH</v>
      </c>
      <c r="D2251" t="s">
        <v>2397</v>
      </c>
      <c r="E2251" t="str">
        <f t="shared" si="1319"/>
        <v>GWth/yr.</v>
      </c>
      <c r="F2251" s="1" cm="1">
        <f t="array" ref="F2251">SUMPRODUCT(([1]OUT_FinalEnergyCons!$B$4:$B$10000="var_ncap")*1,ISNUMBER(SEARCH("RH*-WHELCHP",[1]OUT_FinalEnergyCons!$A$4:$A$10000))*1,[1]OUT_FinalEnergyCons!D$4:D$10000)</f>
        <v>3.09633284462138E-6</v>
      </c>
      <c r="G2251" s="1" cm="1">
        <f t="array" ref="G2251">SUMPRODUCT(([1]OUT_FinalEnergyCons!$B$4:$B$10000="var_ncap")*1,ISNUMBER(SEARCH("RH*-WHELCHP",[1]OUT_FinalEnergyCons!$A$4:$A$10000))*1,[1]OUT_FinalEnergyCons!E$4:E$10000)</f>
        <v>3.2788183211379898E-2</v>
      </c>
      <c r="H2251" s="1" cm="1">
        <f t="array" ref="H2251">SUMPRODUCT(([1]OUT_FinalEnergyCons!$B$4:$B$10000="var_ncap")*1,ISNUMBER(SEARCH("RH*-WHELCHP",[1]OUT_FinalEnergyCons!$A$4:$A$10000))*1,[1]OUT_FinalEnergyCons!F$4:F$10000)</f>
        <v>0.10186931620169901</v>
      </c>
      <c r="I2251" s="1" cm="1">
        <f t="array" ref="I2251">SUMPRODUCT(([1]OUT_FinalEnergyCons!$B$4:$B$10000="var_ncap")*1,ISNUMBER(SEARCH("RH*-WHELCHP",[1]OUT_FinalEnergyCons!$A$4:$A$10000))*1,[1]OUT_FinalEnergyCons!G$4:G$10000)</f>
        <v>0.264250038478899</v>
      </c>
      <c r="J2251" s="1" cm="1">
        <f t="array" ref="J2251">SUMPRODUCT(([1]OUT_FinalEnergyCons!$B$4:$B$10000="var_ncap")*1,ISNUMBER(SEARCH("RH*-WHELCHP",[1]OUT_FinalEnergyCons!$A$4:$A$10000))*1,[1]OUT_FinalEnergyCons!H$4:H$10000)</f>
        <v>0.45088459581726698</v>
      </c>
      <c r="K2251" s="1" cm="1">
        <f t="array" ref="K2251">SUMPRODUCT(([1]OUT_FinalEnergyCons!$B$4:$B$10000="var_ncap")*1,ISNUMBER(SEARCH("RH*-WHELCHP",[1]OUT_FinalEnergyCons!$A$4:$A$10000))*1,[1]OUT_FinalEnergyCons!I$4:I$10000)</f>
        <v>0.64314963806622005</v>
      </c>
    </row>
    <row r="2252" spans="2:11" x14ac:dyDescent="0.35">
      <c r="B2252" s="5" t="str">
        <f t="shared" si="1322"/>
        <v>SPS3</v>
      </c>
      <c r="C2252" s="5" t="str">
        <f t="shared" si="1323"/>
        <v>CH</v>
      </c>
      <c r="D2252" t="s">
        <v>2398</v>
      </c>
      <c r="E2252" t="str">
        <f t="shared" si="1319"/>
        <v>GWth/yr.</v>
      </c>
      <c r="F2252" s="1">
        <f t="shared" ref="F2252:K2252" si="1331">F2253</f>
        <v>0</v>
      </c>
      <c r="G2252" s="1">
        <f t="shared" si="1331"/>
        <v>6.6790086082121405E-7</v>
      </c>
      <c r="H2252" s="1">
        <f t="shared" si="1331"/>
        <v>3.1698807093116801E-7</v>
      </c>
      <c r="I2252" s="1">
        <f t="shared" si="1331"/>
        <v>6.0578008025947397E-7</v>
      </c>
      <c r="J2252" s="1">
        <f t="shared" si="1331"/>
        <v>7.0488634470573502E-3</v>
      </c>
      <c r="K2252" s="1">
        <f t="shared" si="1331"/>
        <v>0</v>
      </c>
    </row>
    <row r="2253" spans="2:11" x14ac:dyDescent="0.35">
      <c r="B2253" s="5" t="str">
        <f t="shared" si="1322"/>
        <v>SPS3</v>
      </c>
      <c r="C2253" s="5" t="str">
        <f t="shared" si="1323"/>
        <v>CH</v>
      </c>
      <c r="D2253" t="s">
        <v>2399</v>
      </c>
      <c r="E2253" t="str">
        <f t="shared" si="1319"/>
        <v>GWth/yr.</v>
      </c>
      <c r="F2253" s="1" cm="1">
        <f t="array" ref="F2253">SUMPRODUCT(([1]OUT_FinalEnergyCons!$B$4:$B$10000="var_ncap")*1, (ISNUMBER(SEARCH("RH*-WHLFOBR",[1]OUT_FinalEnergyCons!$A$4:$A$10000)))*1,[1]OUT_FinalEnergyCons!D$4:D$10000)</f>
        <v>0</v>
      </c>
      <c r="G2253" s="1" cm="1">
        <f t="array" ref="G2253">SUMPRODUCT(([1]OUT_FinalEnergyCons!$B$4:$B$10000="var_ncap")*1, (ISNUMBER(SEARCH("RH*-WHLFOBR",[1]OUT_FinalEnergyCons!$A$4:$A$10000)))*1,[1]OUT_FinalEnergyCons!E$4:E$10000)</f>
        <v>6.6790086082121405E-7</v>
      </c>
      <c r="H2253" s="1" cm="1">
        <f t="array" ref="H2253">SUMPRODUCT(([1]OUT_FinalEnergyCons!$B$4:$B$10000="var_ncap")*1, (ISNUMBER(SEARCH("RH*-WHLFOBR",[1]OUT_FinalEnergyCons!$A$4:$A$10000)))*1,[1]OUT_FinalEnergyCons!F$4:F$10000)</f>
        <v>3.1698807093116801E-7</v>
      </c>
      <c r="I2253" s="1" cm="1">
        <f t="array" ref="I2253">SUMPRODUCT(([1]OUT_FinalEnergyCons!$B$4:$B$10000="var_ncap")*1, (ISNUMBER(SEARCH("RH*-WHLFOBR",[1]OUT_FinalEnergyCons!$A$4:$A$10000)))*1,[1]OUT_FinalEnergyCons!G$4:G$10000)</f>
        <v>6.0578008025947397E-7</v>
      </c>
      <c r="J2253" s="1" cm="1">
        <f t="array" ref="J2253">SUMPRODUCT(([1]OUT_FinalEnergyCons!$B$4:$B$10000="var_ncap")*1, (ISNUMBER(SEARCH("RH*-WHLFOBR",[1]OUT_FinalEnergyCons!$A$4:$A$10000)))*1,[1]OUT_FinalEnergyCons!H$4:H$10000)</f>
        <v>7.0488634470573502E-3</v>
      </c>
      <c r="K2253" s="1" cm="1">
        <f t="array" ref="K2253">SUMPRODUCT(([1]OUT_FinalEnergyCons!$B$4:$B$10000="var_ncap")*1, (ISNUMBER(SEARCH("RH*-WHLFOBR",[1]OUT_FinalEnergyCons!$A$4:$A$10000)))*1,[1]OUT_FinalEnergyCons!I$4:I$10000)</f>
        <v>0</v>
      </c>
    </row>
    <row r="2254" spans="2:11" x14ac:dyDescent="0.35">
      <c r="B2254" s="5" t="str">
        <f t="shared" si="1322"/>
        <v>SPS3</v>
      </c>
      <c r="C2254" s="5" t="str">
        <f t="shared" si="1323"/>
        <v>CH</v>
      </c>
      <c r="D2254" t="s">
        <v>2400</v>
      </c>
      <c r="E2254" t="str">
        <f t="shared" si="1319"/>
        <v>GWth/yr.</v>
      </c>
      <c r="F2254" s="1">
        <f t="shared" ref="F2254:K2254" si="1332">SUM(F2255:F2256)</f>
        <v>0</v>
      </c>
      <c r="G2254" s="1">
        <f t="shared" si="1332"/>
        <v>1.521777564099877E-6</v>
      </c>
      <c r="H2254" s="1">
        <f t="shared" si="1332"/>
        <v>6.5688622464728882E-2</v>
      </c>
      <c r="I2254" s="1">
        <f t="shared" si="1332"/>
        <v>7.6792575072137062E-2</v>
      </c>
      <c r="J2254" s="1">
        <f t="shared" si="1332"/>
        <v>0.16171591891694592</v>
      </c>
      <c r="K2254" s="1">
        <f t="shared" si="1332"/>
        <v>0.12212875361893513</v>
      </c>
    </row>
    <row r="2255" spans="2:11" x14ac:dyDescent="0.35">
      <c r="B2255" s="5" t="str">
        <f t="shared" si="1322"/>
        <v>SPS3</v>
      </c>
      <c r="C2255" s="5" t="str">
        <f t="shared" si="1323"/>
        <v>CH</v>
      </c>
      <c r="D2255" t="s">
        <v>2401</v>
      </c>
      <c r="E2255" t="str">
        <f t="shared" si="1319"/>
        <v>GWth/yr.</v>
      </c>
      <c r="F2255" s="1" cm="1">
        <f t="array" ref="F2255">SUMPRODUCT(([1]OUT_FinalEnergyCons!$B$4:$B$10000="var_ncap")*1, (ISNUMBER(SEARCH("RH*-WHNGABR",[1]OUT_FinalEnergyCons!$A$4:$A$10000)))*1,[1]OUT_FinalEnergyCons!D$4:D$10000)</f>
        <v>0</v>
      </c>
      <c r="G2255" s="1" cm="1">
        <f t="array" ref="G2255">SUMPRODUCT(([1]OUT_FinalEnergyCons!$B$4:$B$10000="var_ncap")*1, (ISNUMBER(SEARCH("RH*-WHNGABR",[1]OUT_FinalEnergyCons!$A$4:$A$10000)))*1,[1]OUT_FinalEnergyCons!E$4:E$10000)</f>
        <v>6.8901539162543602E-7</v>
      </c>
      <c r="H2255" s="1" cm="1">
        <f t="array" ref="H2255">SUMPRODUCT(([1]OUT_FinalEnergyCons!$B$4:$B$10000="var_ncap")*1, (ISNUMBER(SEARCH("RH*-WHNGABR",[1]OUT_FinalEnergyCons!$A$4:$A$10000)))*1,[1]OUT_FinalEnergyCons!F$4:F$10000)</f>
        <v>5.6280170368807204E-7</v>
      </c>
      <c r="I2255" s="1" cm="1">
        <f t="array" ref="I2255">SUMPRODUCT(([1]OUT_FinalEnergyCons!$B$4:$B$10000="var_ncap")*1, (ISNUMBER(SEARCH("RH*-WHNGABR",[1]OUT_FinalEnergyCons!$A$4:$A$10000)))*1,[1]OUT_FinalEnergyCons!G$4:G$10000)</f>
        <v>7.7969495916683897E-7</v>
      </c>
      <c r="J2255" s="1" cm="1">
        <f t="array" ref="J2255">SUMPRODUCT(([1]OUT_FinalEnergyCons!$B$4:$B$10000="var_ncap")*1, (ISNUMBER(SEARCH("RH*-WHNGABR",[1]OUT_FinalEnergyCons!$A$4:$A$10000)))*1,[1]OUT_FinalEnergyCons!H$4:H$10000)</f>
        <v>2.8279532646178902E-2</v>
      </c>
      <c r="K2255" s="1" cm="1">
        <f t="array" ref="K2255">SUMPRODUCT(([1]OUT_FinalEnergyCons!$B$4:$B$10000="var_ncap")*1, (ISNUMBER(SEARCH("RH*-WHNGABR",[1]OUT_FinalEnergyCons!$A$4:$A$10000)))*1,[1]OUT_FinalEnergyCons!I$4:I$10000)</f>
        <v>1.1784726151263899E-6</v>
      </c>
    </row>
    <row r="2256" spans="2:11" x14ac:dyDescent="0.35">
      <c r="B2256" s="5" t="str">
        <f t="shared" si="1322"/>
        <v>SPS3</v>
      </c>
      <c r="C2256" s="5" t="str">
        <f t="shared" si="1323"/>
        <v>CH</v>
      </c>
      <c r="D2256" t="s">
        <v>2402</v>
      </c>
      <c r="E2256" t="str">
        <f t="shared" si="1319"/>
        <v>GWth/yr.</v>
      </c>
      <c r="F2256" s="1" cm="1">
        <f t="array" ref="F2256">SUMPRODUCT(([1]OUT_FinalEnergyCons!$B$4:$B$10000="var_ncap")*1,ISNUMBER(SEARCH("RH*-WHngahp",[1]OUT_FinalEnergyCons!$A$4:$A$10000))*1,[1]OUT_FinalEnergyCons!D$4:D$10000)</f>
        <v>0</v>
      </c>
      <c r="G2256" s="1" cm="1">
        <f t="array" ref="G2256">SUMPRODUCT(([1]OUT_FinalEnergyCons!$B$4:$B$10000="var_ncap")*1,ISNUMBER(SEARCH("RH*-WHngahp",[1]OUT_FinalEnergyCons!$A$4:$A$10000))*1,[1]OUT_FinalEnergyCons!E$4:E$10000)</f>
        <v>8.3276217247444104E-7</v>
      </c>
      <c r="H2256" s="1" cm="1">
        <f t="array" ref="H2256">SUMPRODUCT(([1]OUT_FinalEnergyCons!$B$4:$B$10000="var_ncap")*1,ISNUMBER(SEARCH("RH*-WHngahp",[1]OUT_FinalEnergyCons!$A$4:$A$10000))*1,[1]OUT_FinalEnergyCons!F$4:F$10000)</f>
        <v>6.5688059663025197E-2</v>
      </c>
      <c r="I2256" s="1" cm="1">
        <f t="array" ref="I2256">SUMPRODUCT(([1]OUT_FinalEnergyCons!$B$4:$B$10000="var_ncap")*1,ISNUMBER(SEARCH("RH*-WHngahp",[1]OUT_FinalEnergyCons!$A$4:$A$10000))*1,[1]OUT_FinalEnergyCons!G$4:G$10000)</f>
        <v>7.6791795377177896E-2</v>
      </c>
      <c r="J2256" s="1" cm="1">
        <f t="array" ref="J2256">SUMPRODUCT(([1]OUT_FinalEnergyCons!$B$4:$B$10000="var_ncap")*1,ISNUMBER(SEARCH("RH*-WHngahp",[1]OUT_FinalEnergyCons!$A$4:$A$10000))*1,[1]OUT_FinalEnergyCons!H$4:H$10000)</f>
        <v>0.13343638627076701</v>
      </c>
      <c r="K2256" s="1" cm="1">
        <f t="array" ref="K2256">SUMPRODUCT(([1]OUT_FinalEnergyCons!$B$4:$B$10000="var_ncap")*1,ISNUMBER(SEARCH("RH*-WHngahp",[1]OUT_FinalEnergyCons!$A$4:$A$10000))*1,[1]OUT_FinalEnergyCons!I$4:I$10000)</f>
        <v>0.12212757514632</v>
      </c>
    </row>
    <row r="2257" spans="2:11" x14ac:dyDescent="0.35">
      <c r="B2257" s="5" t="str">
        <f t="shared" si="1322"/>
        <v>SPS3</v>
      </c>
      <c r="C2257" s="5" t="str">
        <f t="shared" si="1323"/>
        <v>CH</v>
      </c>
      <c r="D2257" t="s">
        <v>2403</v>
      </c>
      <c r="E2257" t="str">
        <f t="shared" si="1319"/>
        <v>GWth/yr.</v>
      </c>
      <c r="F2257" s="1">
        <f t="shared" ref="F2257:K2257" si="1333">F2258</f>
        <v>0</v>
      </c>
      <c r="G2257" s="1">
        <f t="shared" si="1333"/>
        <v>0</v>
      </c>
      <c r="H2257" s="1">
        <f t="shared" si="1333"/>
        <v>0</v>
      </c>
      <c r="I2257" s="1">
        <f t="shared" si="1333"/>
        <v>0</v>
      </c>
      <c r="J2257" s="1">
        <f t="shared" si="1333"/>
        <v>0</v>
      </c>
      <c r="K2257" s="1">
        <f t="shared" si="1333"/>
        <v>0</v>
      </c>
    </row>
    <row r="2258" spans="2:11" x14ac:dyDescent="0.35">
      <c r="B2258" s="5" t="str">
        <f t="shared" si="1322"/>
        <v>SPS3</v>
      </c>
      <c r="C2258" s="5" t="str">
        <f t="shared" si="1323"/>
        <v>CH</v>
      </c>
      <c r="D2258" t="s">
        <v>2404</v>
      </c>
      <c r="E2258" t="str">
        <f t="shared" si="1319"/>
        <v>GWth/yr.</v>
      </c>
      <c r="F2258" s="1" cm="1">
        <f t="array" ref="F2258">SUMPRODUCT(([1]OUT_FinalEnergyCons!$B$4:$B$10000="var_ncap")*1, (ISNUMBER(SEARCH("RH*-WHCOABR",[1]OUT_FinalEnergyCons!$A$4:$A$10000)))*1,[1]OUT_FinalEnergyCons!D$4:D$10000)</f>
        <v>0</v>
      </c>
      <c r="G2258" s="1" cm="1">
        <f t="array" ref="G2258">SUMPRODUCT(([1]OUT_FinalEnergyCons!$B$4:$B$10000="var_ncap")*1, (ISNUMBER(SEARCH("RH*-WHCOABR",[1]OUT_FinalEnergyCons!$A$4:$A$10000)))*1,[1]OUT_FinalEnergyCons!E$4:E$10000)</f>
        <v>0</v>
      </c>
      <c r="H2258" s="1" cm="1">
        <f t="array" ref="H2258">SUMPRODUCT(([1]OUT_FinalEnergyCons!$B$4:$B$10000="var_ncap")*1, (ISNUMBER(SEARCH("RH*-WHCOABR",[1]OUT_FinalEnergyCons!$A$4:$A$10000)))*1,[1]OUT_FinalEnergyCons!F$4:F$10000)</f>
        <v>0</v>
      </c>
      <c r="I2258" s="1" cm="1">
        <f t="array" ref="I2258">SUMPRODUCT(([1]OUT_FinalEnergyCons!$B$4:$B$10000="var_ncap")*1, (ISNUMBER(SEARCH("RH*-WHCOABR",[1]OUT_FinalEnergyCons!$A$4:$A$10000)))*1,[1]OUT_FinalEnergyCons!G$4:G$10000)</f>
        <v>0</v>
      </c>
      <c r="J2258" s="1" cm="1">
        <f t="array" ref="J2258">SUMPRODUCT(([1]OUT_FinalEnergyCons!$B$4:$B$10000="var_ncap")*1, (ISNUMBER(SEARCH("RH*-WHCOABR",[1]OUT_FinalEnergyCons!$A$4:$A$10000)))*1,[1]OUT_FinalEnergyCons!H$4:H$10000)</f>
        <v>0</v>
      </c>
      <c r="K2258" s="1" cm="1">
        <f t="array" ref="K2258">SUMPRODUCT(([1]OUT_FinalEnergyCons!$B$4:$B$10000="var_ncap")*1, (ISNUMBER(SEARCH("RH*-WHCOABR",[1]OUT_FinalEnergyCons!$A$4:$A$10000)))*1,[1]OUT_FinalEnergyCons!I$4:I$10000)</f>
        <v>0</v>
      </c>
    </row>
    <row r="2259" spans="2:11" x14ac:dyDescent="0.35">
      <c r="B2259" s="5" t="str">
        <f t="shared" si="1322"/>
        <v>SPS3</v>
      </c>
      <c r="C2259" s="5" t="str">
        <f t="shared" si="1323"/>
        <v>CH</v>
      </c>
      <c r="D2259" t="s">
        <v>2405</v>
      </c>
      <c r="E2259" t="str">
        <f t="shared" si="1319"/>
        <v>GWth/yr.</v>
      </c>
      <c r="F2259" s="1">
        <f t="shared" ref="F2259:K2259" si="1334">F2260</f>
        <v>0</v>
      </c>
      <c r="G2259" s="1">
        <f t="shared" si="1334"/>
        <v>5.3779935599440297E-3</v>
      </c>
      <c r="H2259" s="1">
        <f t="shared" si="1334"/>
        <v>3.1908428528684599E-2</v>
      </c>
      <c r="I2259" s="1">
        <f t="shared" si="1334"/>
        <v>1.1478134203822499E-6</v>
      </c>
      <c r="J2259" s="1">
        <f t="shared" si="1334"/>
        <v>3.0244718326265501E-2</v>
      </c>
      <c r="K2259" s="1">
        <f t="shared" si="1334"/>
        <v>1.81748536754491E-6</v>
      </c>
    </row>
    <row r="2260" spans="2:11" x14ac:dyDescent="0.35">
      <c r="B2260" s="5" t="str">
        <f t="shared" si="1322"/>
        <v>SPS3</v>
      </c>
      <c r="C2260" s="5" t="str">
        <f t="shared" si="1323"/>
        <v>CH</v>
      </c>
      <c r="D2260" t="s">
        <v>2406</v>
      </c>
      <c r="E2260" t="str">
        <f t="shared" si="1319"/>
        <v>GWth/yr.</v>
      </c>
      <c r="F2260" s="1" cm="1">
        <f t="array" ref="F2260">SUMPRODUCT(([1]OUT_FinalEnergyCons!$B$4:$B$10000="var_ncap")*1, (ISNUMBER(SEARCH("RH*-WHWODBR",[1]OUT_FinalEnergyCons!$A$4:$A$10000)))*1,[1]OUT_FinalEnergyCons!D$4:D$10000)</f>
        <v>0</v>
      </c>
      <c r="G2260" s="1" cm="1">
        <f t="array" ref="G2260">SUMPRODUCT(([1]OUT_FinalEnergyCons!$B$4:$B$10000="var_ncap")*1, (ISNUMBER(SEARCH("RH*-WHWODBR",[1]OUT_FinalEnergyCons!$A$4:$A$10000)))*1,[1]OUT_FinalEnergyCons!E$4:E$10000)</f>
        <v>5.3779935599440297E-3</v>
      </c>
      <c r="H2260" s="1" cm="1">
        <f t="array" ref="H2260">SUMPRODUCT(([1]OUT_FinalEnergyCons!$B$4:$B$10000="var_ncap")*1, (ISNUMBER(SEARCH("RH*-WHWODBR",[1]OUT_FinalEnergyCons!$A$4:$A$10000)))*1,[1]OUT_FinalEnergyCons!F$4:F$10000)</f>
        <v>3.1908428528684599E-2</v>
      </c>
      <c r="I2260" s="1" cm="1">
        <f t="array" ref="I2260">SUMPRODUCT(([1]OUT_FinalEnergyCons!$B$4:$B$10000="var_ncap")*1, (ISNUMBER(SEARCH("RH*-WHWODBR",[1]OUT_FinalEnergyCons!$A$4:$A$10000)))*1,[1]OUT_FinalEnergyCons!G$4:G$10000)</f>
        <v>1.1478134203822499E-6</v>
      </c>
      <c r="J2260" s="1" cm="1">
        <f t="array" ref="J2260">SUMPRODUCT(([1]OUT_FinalEnergyCons!$B$4:$B$10000="var_ncap")*1, (ISNUMBER(SEARCH("RH*-WHWODBR",[1]OUT_FinalEnergyCons!$A$4:$A$10000)))*1,[1]OUT_FinalEnergyCons!H$4:H$10000)</f>
        <v>3.0244718326265501E-2</v>
      </c>
      <c r="K2260" s="1" cm="1">
        <f t="array" ref="K2260">SUMPRODUCT(([1]OUT_FinalEnergyCons!$B$4:$B$10000="var_ncap")*1, (ISNUMBER(SEARCH("RH*-WHWODBR",[1]OUT_FinalEnergyCons!$A$4:$A$10000)))*1,[1]OUT_FinalEnergyCons!I$4:I$10000)</f>
        <v>1.81748536754491E-6</v>
      </c>
    </row>
    <row r="2261" spans="2:11" x14ac:dyDescent="0.35">
      <c r="B2261" s="5" t="str">
        <f t="shared" si="1322"/>
        <v>SPS3</v>
      </c>
      <c r="C2261" s="5" t="str">
        <f t="shared" si="1323"/>
        <v>CH</v>
      </c>
      <c r="D2261" t="s">
        <v>2407</v>
      </c>
      <c r="E2261" t="str">
        <f t="shared" si="1319"/>
        <v>GWth/yr.</v>
      </c>
      <c r="F2261" s="1">
        <f t="shared" ref="F2261:K2261" si="1335">F2262</f>
        <v>0</v>
      </c>
      <c r="G2261" s="1">
        <f t="shared" si="1335"/>
        <v>1.9583652173885799E-3</v>
      </c>
      <c r="H2261" s="1">
        <f t="shared" si="1335"/>
        <v>2.6022858647079902E-7</v>
      </c>
      <c r="I2261" s="1">
        <f t="shared" si="1335"/>
        <v>8.7288046887683604E-7</v>
      </c>
      <c r="J2261" s="1">
        <f t="shared" si="1335"/>
        <v>6.3078983649308301E-4</v>
      </c>
      <c r="K2261" s="1">
        <f t="shared" si="1335"/>
        <v>2.3659419196116099E-7</v>
      </c>
    </row>
    <row r="2262" spans="2:11" x14ac:dyDescent="0.35">
      <c r="B2262" s="5" t="str">
        <f t="shared" si="1322"/>
        <v>SPS3</v>
      </c>
      <c r="C2262" s="5" t="str">
        <f t="shared" si="1323"/>
        <v>CH</v>
      </c>
      <c r="D2262" t="s">
        <v>2408</v>
      </c>
      <c r="E2262" t="str">
        <f t="shared" si="1319"/>
        <v>GWth/yr.</v>
      </c>
      <c r="F2262" s="1" cm="1">
        <f t="array" ref="F2262">SUMPRODUCT(([1]OUT_FinalEnergyCons!$B$4:$B$10000="var_ncap")*1, (ISNUMBER(SEARCH("RH*-WHPLTBR",[1]OUT_FinalEnergyCons!$A$4:$A$10000)))*1,[1]OUT_FinalEnergyCons!D$4:D$10000)</f>
        <v>0</v>
      </c>
      <c r="G2262" s="1" cm="1">
        <f t="array" ref="G2262">SUMPRODUCT(([1]OUT_FinalEnergyCons!$B$4:$B$10000="var_ncap")*1, (ISNUMBER(SEARCH("RH*-WHPLTBR",[1]OUT_FinalEnergyCons!$A$4:$A$10000)))*1,[1]OUT_FinalEnergyCons!E$4:E$10000)</f>
        <v>1.9583652173885799E-3</v>
      </c>
      <c r="H2262" s="1" cm="1">
        <f t="array" ref="H2262">SUMPRODUCT(([1]OUT_FinalEnergyCons!$B$4:$B$10000="var_ncap")*1, (ISNUMBER(SEARCH("RH*-WHPLTBR",[1]OUT_FinalEnergyCons!$A$4:$A$10000)))*1,[1]OUT_FinalEnergyCons!F$4:F$10000)</f>
        <v>2.6022858647079902E-7</v>
      </c>
      <c r="I2262" s="1" cm="1">
        <f t="array" ref="I2262">SUMPRODUCT(([1]OUT_FinalEnergyCons!$B$4:$B$10000="var_ncap")*1, (ISNUMBER(SEARCH("RH*-WHPLTBR",[1]OUT_FinalEnergyCons!$A$4:$A$10000)))*1,[1]OUT_FinalEnergyCons!G$4:G$10000)</f>
        <v>8.7288046887683604E-7</v>
      </c>
      <c r="J2262" s="1" cm="1">
        <f t="array" ref="J2262">SUMPRODUCT(([1]OUT_FinalEnergyCons!$B$4:$B$10000="var_ncap")*1, (ISNUMBER(SEARCH("RH*-WHPLTBR",[1]OUT_FinalEnergyCons!$A$4:$A$10000)))*1,[1]OUT_FinalEnergyCons!H$4:H$10000)</f>
        <v>6.3078983649308301E-4</v>
      </c>
      <c r="K2262" s="1" cm="1">
        <f t="array" ref="K2262">SUMPRODUCT(([1]OUT_FinalEnergyCons!$B$4:$B$10000="var_ncap")*1, (ISNUMBER(SEARCH("RH*-WHPLTBR",[1]OUT_FinalEnergyCons!$A$4:$A$10000)))*1,[1]OUT_FinalEnergyCons!I$4:I$10000)</f>
        <v>2.3659419196116099E-7</v>
      </c>
    </row>
    <row r="2263" spans="2:11" x14ac:dyDescent="0.35">
      <c r="B2263" s="5" t="str">
        <f t="shared" si="1322"/>
        <v>SPS3</v>
      </c>
      <c r="C2263" s="5" t="str">
        <f t="shared" si="1323"/>
        <v>CH</v>
      </c>
      <c r="D2263" t="s">
        <v>2409</v>
      </c>
      <c r="E2263" t="str">
        <f t="shared" si="1319"/>
        <v>GWth/yr.</v>
      </c>
      <c r="F2263" s="1">
        <f t="shared" ref="F2263:K2263" si="1336">F2264</f>
        <v>0</v>
      </c>
      <c r="G2263" s="1">
        <f t="shared" si="1336"/>
        <v>8.4122923379354994E-2</v>
      </c>
      <c r="H2263" s="1">
        <f t="shared" si="1336"/>
        <v>3.78282015105119E-6</v>
      </c>
      <c r="I2263" s="1">
        <f t="shared" si="1336"/>
        <v>7.4614698793480705E-2</v>
      </c>
      <c r="J2263" s="1">
        <f t="shared" si="1336"/>
        <v>0.23554403236228</v>
      </c>
      <c r="K2263" s="1">
        <f t="shared" si="1336"/>
        <v>0.42519527923898498</v>
      </c>
    </row>
    <row r="2264" spans="2:11" x14ac:dyDescent="0.35">
      <c r="B2264" s="5" t="str">
        <f t="shared" si="1322"/>
        <v>SPS3</v>
      </c>
      <c r="C2264" s="5" t="str">
        <f t="shared" si="1323"/>
        <v>CH</v>
      </c>
      <c r="D2264" t="s">
        <v>2410</v>
      </c>
      <c r="E2264" t="str">
        <f t="shared" si="1319"/>
        <v>GWth/yr.</v>
      </c>
      <c r="F2264" s="1" cm="1">
        <f t="array" ref="F2264">SUMPRODUCT(([1]OUT_FinalEnergyCons!$B$4:$B$10000="var_ncap")*1, (ISNUMBER(SEARCH("RH*-WHSOLBR",[1]OUT_FinalEnergyCons!$A$4:$A$10000)))*1,[1]OUT_FinalEnergyCons!D$4:D$10000)</f>
        <v>0</v>
      </c>
      <c r="G2264" s="1" cm="1">
        <f t="array" ref="G2264">SUMPRODUCT(([1]OUT_FinalEnergyCons!$B$4:$B$10000="var_ncap")*1, (ISNUMBER(SEARCH("RH*-WHSOLBR",[1]OUT_FinalEnergyCons!$A$4:$A$10000)))*1,[1]OUT_FinalEnergyCons!E$4:E$10000)</f>
        <v>8.4122923379354994E-2</v>
      </c>
      <c r="H2264" s="1" cm="1">
        <f t="array" ref="H2264">SUMPRODUCT(([1]OUT_FinalEnergyCons!$B$4:$B$10000="var_ncap")*1, (ISNUMBER(SEARCH("RH*-WHSOLBR",[1]OUT_FinalEnergyCons!$A$4:$A$10000)))*1,[1]OUT_FinalEnergyCons!F$4:F$10000)</f>
        <v>3.78282015105119E-6</v>
      </c>
      <c r="I2264" s="1" cm="1">
        <f t="array" ref="I2264">SUMPRODUCT(([1]OUT_FinalEnergyCons!$B$4:$B$10000="var_ncap")*1, (ISNUMBER(SEARCH("RH*-WHSOLBR",[1]OUT_FinalEnergyCons!$A$4:$A$10000)))*1,[1]OUT_FinalEnergyCons!G$4:G$10000)</f>
        <v>7.4614698793480705E-2</v>
      </c>
      <c r="J2264" s="1" cm="1">
        <f t="array" ref="J2264">SUMPRODUCT(([1]OUT_FinalEnergyCons!$B$4:$B$10000="var_ncap")*1, (ISNUMBER(SEARCH("RH*-WHSOLBR",[1]OUT_FinalEnergyCons!$A$4:$A$10000)))*1,[1]OUT_FinalEnergyCons!H$4:H$10000)</f>
        <v>0.23554403236228</v>
      </c>
      <c r="K2264" s="1" cm="1">
        <f t="array" ref="K2264">SUMPRODUCT(([1]OUT_FinalEnergyCons!$B$4:$B$10000="var_ncap")*1, (ISNUMBER(SEARCH("RH*-WHSOLBR",[1]OUT_FinalEnergyCons!$A$4:$A$10000)))*1,[1]OUT_FinalEnergyCons!I$4:I$10000)</f>
        <v>0.42519527923898498</v>
      </c>
    </row>
    <row r="2265" spans="2:11" x14ac:dyDescent="0.35">
      <c r="B2265" s="5" t="str">
        <f t="shared" si="1322"/>
        <v>SPS3</v>
      </c>
      <c r="C2265" s="5" t="str">
        <f t="shared" si="1323"/>
        <v>CH</v>
      </c>
      <c r="D2265" t="s">
        <v>2411</v>
      </c>
      <c r="E2265" t="str">
        <f t="shared" si="1319"/>
        <v>GWth/yr.</v>
      </c>
      <c r="F2265" s="1">
        <f t="shared" ref="F2265:K2265" si="1337">F2266</f>
        <v>0</v>
      </c>
      <c r="G2265" s="1">
        <f t="shared" si="1337"/>
        <v>0</v>
      </c>
      <c r="H2265" s="1">
        <f t="shared" si="1337"/>
        <v>0</v>
      </c>
      <c r="I2265" s="1">
        <f t="shared" si="1337"/>
        <v>0</v>
      </c>
      <c r="J2265" s="1">
        <f t="shared" si="1337"/>
        <v>0</v>
      </c>
      <c r="K2265" s="1">
        <f t="shared" si="1337"/>
        <v>0</v>
      </c>
    </row>
    <row r="2266" spans="2:11" x14ac:dyDescent="0.35">
      <c r="B2266" s="5" t="str">
        <f t="shared" si="1322"/>
        <v>SPS3</v>
      </c>
      <c r="C2266" s="5" t="str">
        <f t="shared" si="1323"/>
        <v>CH</v>
      </c>
      <c r="D2266" t="s">
        <v>2412</v>
      </c>
      <c r="E2266" t="str">
        <f t="shared" si="1319"/>
        <v>GWth/yr.</v>
      </c>
      <c r="F2266" s="1" cm="1">
        <f t="array" ref="F2266">SUMPRODUCT(([1]OUT_FinalEnergyCons!$B$4:$B$10000="var_ncap")*1, (ISNUMBER(SEARCH("RH*-WHH2BR",[1]OUT_FinalEnergyCons!$A$4:$A$10000)))*1,[1]OUT_FinalEnergyCons!D$4:D$10000)</f>
        <v>0</v>
      </c>
      <c r="G2266" s="1" cm="1">
        <f t="array" ref="G2266">SUMPRODUCT(([1]OUT_FinalEnergyCons!$B$4:$B$10000="var_ncap")*1, (ISNUMBER(SEARCH("RH*-WHH2BR",[1]OUT_FinalEnergyCons!$A$4:$A$10000)))*1,[1]OUT_FinalEnergyCons!E$4:E$10000)</f>
        <v>0</v>
      </c>
      <c r="H2266" s="1" cm="1">
        <f t="array" ref="H2266">SUMPRODUCT(([1]OUT_FinalEnergyCons!$B$4:$B$10000="var_ncap")*1, (ISNUMBER(SEARCH("RH*-WHH2BR",[1]OUT_FinalEnergyCons!$A$4:$A$10000)))*1,[1]OUT_FinalEnergyCons!F$4:F$10000)</f>
        <v>0</v>
      </c>
      <c r="I2266" s="1" cm="1">
        <f t="array" ref="I2266">SUMPRODUCT(([1]OUT_FinalEnergyCons!$B$4:$B$10000="var_ncap")*1, (ISNUMBER(SEARCH("RH*-WHH2BR",[1]OUT_FinalEnergyCons!$A$4:$A$10000)))*1,[1]OUT_FinalEnergyCons!G$4:G$10000)</f>
        <v>0</v>
      </c>
      <c r="J2266" s="1" cm="1">
        <f t="array" ref="J2266">SUMPRODUCT(([1]OUT_FinalEnergyCons!$B$4:$B$10000="var_ncap")*1, (ISNUMBER(SEARCH("RH*-WHH2BR",[1]OUT_FinalEnergyCons!$A$4:$A$10000)))*1,[1]OUT_FinalEnergyCons!H$4:H$10000)</f>
        <v>0</v>
      </c>
      <c r="K2266" s="1" cm="1">
        <f t="array" ref="K2266">SUMPRODUCT(([1]OUT_FinalEnergyCons!$B$4:$B$10000="var_ncap")*1, (ISNUMBER(SEARCH("RH*-WHH2BR",[1]OUT_FinalEnergyCons!$A$4:$A$10000)))*1,[1]OUT_FinalEnergyCons!I$4:I$10000)</f>
        <v>0</v>
      </c>
    </row>
    <row r="2267" spans="2:11" x14ac:dyDescent="0.35">
      <c r="B2267" s="9" t="str">
        <f t="shared" si="1322"/>
        <v>SPS3</v>
      </c>
      <c r="C2267" s="9" t="str">
        <f t="shared" si="1323"/>
        <v>CH</v>
      </c>
      <c r="D2267" s="2" t="s">
        <v>2194</v>
      </c>
      <c r="E2267" s="9" t="str">
        <f t="shared" si="1319"/>
        <v>GWth/yr.</v>
      </c>
      <c r="F2267" s="17">
        <f t="shared" ref="F2267:K2267" si="1338">SUM(F2268,F2271,F2274,F2278,F2280,F2282,F2284,F2286,F2288)</f>
        <v>2.37376616770548E-3</v>
      </c>
      <c r="G2267" s="17">
        <f t="shared" si="1338"/>
        <v>0.32140566496259299</v>
      </c>
      <c r="H2267" s="17">
        <f t="shared" si="1338"/>
        <v>0.11774959938136331</v>
      </c>
      <c r="I2267" s="17">
        <f t="shared" si="1338"/>
        <v>1.1839362632524928</v>
      </c>
      <c r="J2267" s="17">
        <f t="shared" si="1338"/>
        <v>1.2212776713160238</v>
      </c>
      <c r="K2267" s="17">
        <f t="shared" si="1338"/>
        <v>1.7984318917147391</v>
      </c>
    </row>
    <row r="2268" spans="2:11" x14ac:dyDescent="0.35">
      <c r="B2268" s="5" t="str">
        <f t="shared" si="1322"/>
        <v>SPS3</v>
      </c>
      <c r="C2268" s="5" t="str">
        <f t="shared" si="1323"/>
        <v>CH</v>
      </c>
      <c r="D2268" t="s">
        <v>2413</v>
      </c>
      <c r="E2268" t="str">
        <f t="shared" si="1319"/>
        <v>GWth/yr.</v>
      </c>
      <c r="F2268" s="18">
        <f t="shared" ref="F2268:K2268" si="1339">SUM(F2269:F2270)</f>
        <v>0</v>
      </c>
      <c r="G2268" s="18">
        <f t="shared" si="1339"/>
        <v>0.1634395532488451</v>
      </c>
      <c r="H2268" s="18">
        <f t="shared" si="1339"/>
        <v>1.7547931771328278E-2</v>
      </c>
      <c r="I2268" s="18">
        <f t="shared" si="1339"/>
        <v>0.10583157445529261</v>
      </c>
      <c r="J2268" s="18">
        <f t="shared" si="1339"/>
        <v>0.645296223048615</v>
      </c>
      <c r="K2268" s="18">
        <f t="shared" si="1339"/>
        <v>0.73390075680225197</v>
      </c>
    </row>
    <row r="2269" spans="2:11" x14ac:dyDescent="0.35">
      <c r="B2269" s="5" t="str">
        <f t="shared" si="1322"/>
        <v>SPS3</v>
      </c>
      <c r="C2269" s="5" t="str">
        <f t="shared" si="1323"/>
        <v>CH</v>
      </c>
      <c r="D2269" t="s">
        <v>2414</v>
      </c>
      <c r="E2269" t="str">
        <f t="shared" si="1319"/>
        <v>GWth/yr.</v>
      </c>
      <c r="F2269" s="1" cm="1">
        <f t="array" ref="F2269">SUMPRODUCT(([1]OUT_FinalEnergyCons!$B$4:$B$10000="var_ncap")*1,  (ISNUMBER(SEARCH("ITOT-SWHELCBR",[1]OUT_FinalEnergyCons!$A$4:$A$10000)))*1,[1]OUT_FinalEnergyCons!D$4:D$10000)</f>
        <v>0</v>
      </c>
      <c r="G2269" s="1" cm="1">
        <f t="array" ref="G2269">SUMPRODUCT(([1]OUT_FinalEnergyCons!$B$4:$B$10000="var_ncap")*1,  (ISNUMBER(SEARCH("ITOT-SWHELCBR",[1]OUT_FinalEnergyCons!$A$4:$A$10000)))*1,[1]OUT_FinalEnergyCons!E$4:E$10000)</f>
        <v>0.14716758467116001</v>
      </c>
      <c r="H2269" s="1" cm="1">
        <f t="array" ref="H2269">SUMPRODUCT(([1]OUT_FinalEnergyCons!$B$4:$B$10000="var_ncap")*1,  (ISNUMBER(SEARCH("ITOT-SWHELCBR",[1]OUT_FinalEnergyCons!$A$4:$A$10000)))*1,[1]OUT_FinalEnergyCons!F$4:F$10000)</f>
        <v>2.1902128200897801E-4</v>
      </c>
      <c r="I2269" s="1" cm="1">
        <f t="array" ref="I2269">SUMPRODUCT(([1]OUT_FinalEnergyCons!$B$4:$B$10000="var_ncap")*1,  (ISNUMBER(SEARCH("ITOT-SWHELCBR",[1]OUT_FinalEnergyCons!$A$4:$A$10000)))*1,[1]OUT_FinalEnergyCons!G$4:G$10000)</f>
        <v>4.6114268769016104E-3</v>
      </c>
      <c r="J2269" s="1" cm="1">
        <f t="array" ref="J2269">SUMPRODUCT(([1]OUT_FinalEnergyCons!$B$4:$B$10000="var_ncap")*1,  (ISNUMBER(SEARCH("ITOT-SWHELCBR",[1]OUT_FinalEnergyCons!$A$4:$A$10000)))*1,[1]OUT_FinalEnergyCons!H$4:H$10000)</f>
        <v>0.49388958204712602</v>
      </c>
      <c r="K2269" s="1" cm="1">
        <f t="array" ref="K2269">SUMPRODUCT(([1]OUT_FinalEnergyCons!$B$4:$B$10000="var_ncap")*1,  (ISNUMBER(SEARCH("ITOT-SWHELCBR",[1]OUT_FinalEnergyCons!$A$4:$A$10000)))*1,[1]OUT_FinalEnergyCons!I$4:I$10000)</f>
        <v>0.49196716132342999</v>
      </c>
    </row>
    <row r="2270" spans="2:11" x14ac:dyDescent="0.35">
      <c r="B2270" s="5" t="str">
        <f t="shared" si="1322"/>
        <v>SPS3</v>
      </c>
      <c r="C2270" s="5" t="str">
        <f t="shared" si="1323"/>
        <v>CH</v>
      </c>
      <c r="D2270" t="s">
        <v>2415</v>
      </c>
      <c r="E2270" t="str">
        <f t="shared" si="1319"/>
        <v>GWth/yr.</v>
      </c>
      <c r="F2270" s="1" cm="1">
        <f t="array" ref="F2270">SUMPRODUCT(([1]OUT_FinalEnergyCons!$B$4:$B$10000="var_ncap")*1,  (ISNUMBER(SEARCH("ITOT-SWHELCHP",[1]OUT_FinalEnergyCons!$A$4:$A$10000)))*1,[1]OUT_FinalEnergyCons!D$4:D$10000)</f>
        <v>0</v>
      </c>
      <c r="G2270" s="1" cm="1">
        <f t="array" ref="G2270">SUMPRODUCT(([1]OUT_FinalEnergyCons!$B$4:$B$10000="var_ncap")*1,  (ISNUMBER(SEARCH("ITOT-SWHELCHP",[1]OUT_FinalEnergyCons!$A$4:$A$10000)))*1,[1]OUT_FinalEnergyCons!E$4:E$10000)</f>
        <v>1.6271968577685099E-2</v>
      </c>
      <c r="H2270" s="1" cm="1">
        <f t="array" ref="H2270">SUMPRODUCT(([1]OUT_FinalEnergyCons!$B$4:$B$10000="var_ncap")*1,  (ISNUMBER(SEARCH("ITOT-SWHELCHP",[1]OUT_FinalEnergyCons!$A$4:$A$10000)))*1,[1]OUT_FinalEnergyCons!F$4:F$10000)</f>
        <v>1.73289104893193E-2</v>
      </c>
      <c r="I2270" s="1" cm="1">
        <f t="array" ref="I2270">SUMPRODUCT(([1]OUT_FinalEnergyCons!$B$4:$B$10000="var_ncap")*1,  (ISNUMBER(SEARCH("ITOT-SWHELCHP",[1]OUT_FinalEnergyCons!$A$4:$A$10000)))*1,[1]OUT_FinalEnergyCons!G$4:G$10000)</f>
        <v>0.101220147578391</v>
      </c>
      <c r="J2270" s="1" cm="1">
        <f t="array" ref="J2270">SUMPRODUCT(([1]OUT_FinalEnergyCons!$B$4:$B$10000="var_ncap")*1,  (ISNUMBER(SEARCH("ITOT-SWHELCHP",[1]OUT_FinalEnergyCons!$A$4:$A$10000)))*1,[1]OUT_FinalEnergyCons!H$4:H$10000)</f>
        <v>0.15140664100148901</v>
      </c>
      <c r="K2270" s="1" cm="1">
        <f t="array" ref="K2270">SUMPRODUCT(([1]OUT_FinalEnergyCons!$B$4:$B$10000="var_ncap")*1,  (ISNUMBER(SEARCH("ITOT-SWHELCHP",[1]OUT_FinalEnergyCons!$A$4:$A$10000)))*1,[1]OUT_FinalEnergyCons!I$4:I$10000)</f>
        <v>0.24193359547882201</v>
      </c>
    </row>
    <row r="2271" spans="2:11" x14ac:dyDescent="0.35">
      <c r="B2271" s="5" t="str">
        <f t="shared" si="1322"/>
        <v>SPS3</v>
      </c>
      <c r="C2271" s="5" t="str">
        <f t="shared" si="1323"/>
        <v>CH</v>
      </c>
      <c r="D2271" t="s">
        <v>2416</v>
      </c>
      <c r="E2271" t="str">
        <f t="shared" si="1319"/>
        <v>GWth/yr.</v>
      </c>
      <c r="F2271" s="18">
        <f t="shared" ref="F2271:K2271" si="1340">SUM(F2272:F2273)</f>
        <v>2.37376616770548E-3</v>
      </c>
      <c r="G2271" s="18">
        <f t="shared" si="1340"/>
        <v>5.935942211972395E-3</v>
      </c>
      <c r="H2271" s="18">
        <f t="shared" si="1340"/>
        <v>5.8661223963876402E-5</v>
      </c>
      <c r="I2271" s="18">
        <f t="shared" si="1340"/>
        <v>0.26061984138759642</v>
      </c>
      <c r="J2271" s="18">
        <f t="shared" si="1340"/>
        <v>1.402150396259846E-2</v>
      </c>
      <c r="K2271" s="18">
        <f t="shared" si="1340"/>
        <v>1.2848489141235637E-2</v>
      </c>
    </row>
    <row r="2272" spans="2:11" x14ac:dyDescent="0.35">
      <c r="B2272" s="5" t="str">
        <f t="shared" si="1322"/>
        <v>SPS3</v>
      </c>
      <c r="C2272" s="5" t="str">
        <f t="shared" si="1323"/>
        <v>CH</v>
      </c>
      <c r="D2272" t="s">
        <v>2417</v>
      </c>
      <c r="E2272" t="str">
        <f t="shared" si="1319"/>
        <v>GWth/yr.</v>
      </c>
      <c r="F2272" s="1" cm="1">
        <f t="array" ref="F2272">SUMPRODUCT(([1]OUT_FinalEnergyCons!$B$4:$B$10000="var_ncap")*1,  (ISNUMBER(SEARCH("ITOT-SWHLFOBR",[1]OUT_FinalEnergyCons!$A$4:$A$10000)))*1,[1]OUT_FinalEnergyCons!D$4:D$10000)</f>
        <v>0</v>
      </c>
      <c r="G2272" s="1" cm="1">
        <f t="array" ref="G2272">SUMPRODUCT(([1]OUT_FinalEnergyCons!$B$4:$B$10000="var_ncap")*1,  (ISNUMBER(SEARCH("ITOT-SWHLFOBR",[1]OUT_FinalEnergyCons!$A$4:$A$10000)))*1,[1]OUT_FinalEnergyCons!E$4:E$10000)</f>
        <v>5.8767756638492602E-3</v>
      </c>
      <c r="H2272" s="1" cm="1">
        <f t="array" ref="H2272">SUMPRODUCT(([1]OUT_FinalEnergyCons!$B$4:$B$10000="var_ncap")*1,  (ISNUMBER(SEARCH("ITOT-SWHLFOBR",[1]OUT_FinalEnergyCons!$A$4:$A$10000)))*1,[1]OUT_FinalEnergyCons!F$4:F$10000)</f>
        <v>3.6413212914422203E-5</v>
      </c>
      <c r="I2272" s="1" cm="1">
        <f t="array" ref="I2272">SUMPRODUCT(([1]OUT_FinalEnergyCons!$B$4:$B$10000="var_ncap")*1,  (ISNUMBER(SEARCH("ITOT-SWHLFOBR",[1]OUT_FinalEnergyCons!$A$4:$A$10000)))*1,[1]OUT_FinalEnergyCons!G$4:G$10000)</f>
        <v>0.260574636339926</v>
      </c>
      <c r="J2272" s="1" cm="1">
        <f t="array" ref="J2272">SUMPRODUCT(([1]OUT_FinalEnergyCons!$B$4:$B$10000="var_ncap")*1,  (ISNUMBER(SEARCH("ITOT-SWHLFOBR",[1]OUT_FinalEnergyCons!$A$4:$A$10000)))*1,[1]OUT_FinalEnergyCons!H$4:H$10000)</f>
        <v>1.4004358077648099E-2</v>
      </c>
      <c r="K2272" s="1" cm="1">
        <f t="array" ref="K2272">SUMPRODUCT(([1]OUT_FinalEnergyCons!$B$4:$B$10000="var_ncap")*1,  (ISNUMBER(SEARCH("ITOT-SWHLFOBR",[1]OUT_FinalEnergyCons!$A$4:$A$10000)))*1,[1]OUT_FinalEnergyCons!I$4:I$10000)</f>
        <v>1.2843867196899899E-2</v>
      </c>
    </row>
    <row r="2273" spans="2:11" x14ac:dyDescent="0.35">
      <c r="B2273" s="5" t="str">
        <f t="shared" si="1322"/>
        <v>SPS3</v>
      </c>
      <c r="C2273" s="5" t="str">
        <f t="shared" si="1323"/>
        <v>CH</v>
      </c>
      <c r="D2273" t="s">
        <v>2418</v>
      </c>
      <c r="E2273" t="str">
        <f t="shared" si="1319"/>
        <v>GWth/yr.</v>
      </c>
      <c r="F2273" s="1" cm="1">
        <f t="array" ref="F2273">SUMPRODUCT(([1]OUT_FinalEnergyCons!$B$4:$B$10000="var_ncap")*1,  (ISNUMBER(SEARCH("ITOT-SWHHFOBR",[1]OUT_FinalEnergyCons!$A$4:$A$10000)))*1,[1]OUT_FinalEnergyCons!D$4:D$10000)</f>
        <v>2.37376616770548E-3</v>
      </c>
      <c r="G2273" s="1" cm="1">
        <f t="array" ref="G2273">SUMPRODUCT(([1]OUT_FinalEnergyCons!$B$4:$B$10000="var_ncap")*1,  (ISNUMBER(SEARCH("ITOT-SWHHFOBR",[1]OUT_FinalEnergyCons!$A$4:$A$10000)))*1,[1]OUT_FinalEnergyCons!E$4:E$10000)</f>
        <v>5.9166548123134997E-5</v>
      </c>
      <c r="H2273" s="1" cm="1">
        <f t="array" ref="H2273">SUMPRODUCT(([1]OUT_FinalEnergyCons!$B$4:$B$10000="var_ncap")*1,  (ISNUMBER(SEARCH("ITOT-SWHHFOBR",[1]OUT_FinalEnergyCons!$A$4:$A$10000)))*1,[1]OUT_FinalEnergyCons!F$4:F$10000)</f>
        <v>2.2248011049454199E-5</v>
      </c>
      <c r="I2273" s="1" cm="1">
        <f t="array" ref="I2273">SUMPRODUCT(([1]OUT_FinalEnergyCons!$B$4:$B$10000="var_ncap")*1,  (ISNUMBER(SEARCH("ITOT-SWHHFOBR",[1]OUT_FinalEnergyCons!$A$4:$A$10000)))*1,[1]OUT_FinalEnergyCons!G$4:G$10000)</f>
        <v>4.5205047670393801E-5</v>
      </c>
      <c r="J2273" s="1" cm="1">
        <f t="array" ref="J2273">SUMPRODUCT(([1]OUT_FinalEnergyCons!$B$4:$B$10000="var_ncap")*1,  (ISNUMBER(SEARCH("ITOT-SWHHFOBR",[1]OUT_FinalEnergyCons!$A$4:$A$10000)))*1,[1]OUT_FinalEnergyCons!H$4:H$10000)</f>
        <v>1.71458849503608E-5</v>
      </c>
      <c r="K2273" s="1" cm="1">
        <f t="array" ref="K2273">SUMPRODUCT(([1]OUT_FinalEnergyCons!$B$4:$B$10000="var_ncap")*1,  (ISNUMBER(SEARCH("ITOT-SWHHFOBR",[1]OUT_FinalEnergyCons!$A$4:$A$10000)))*1,[1]OUT_FinalEnergyCons!I$4:I$10000)</f>
        <v>4.6219443357375304E-6</v>
      </c>
    </row>
    <row r="2274" spans="2:11" x14ac:dyDescent="0.35">
      <c r="B2274" s="5" t="str">
        <f t="shared" si="1322"/>
        <v>SPS3</v>
      </c>
      <c r="C2274" s="5" t="str">
        <f t="shared" si="1323"/>
        <v>CH</v>
      </c>
      <c r="D2274" t="s">
        <v>2419</v>
      </c>
      <c r="E2274" t="str">
        <f t="shared" si="1319"/>
        <v>GWth/yr.</v>
      </c>
      <c r="F2274" s="18">
        <f t="shared" ref="F2274:K2274" si="1341">SUM(F2275:F2276)</f>
        <v>0</v>
      </c>
      <c r="G2274" s="18">
        <f t="shared" si="1341"/>
        <v>2.2495636632881199E-4</v>
      </c>
      <c r="H2274" s="18">
        <f t="shared" si="1341"/>
        <v>0.10004547765592257</v>
      </c>
      <c r="I2274" s="18">
        <f t="shared" si="1341"/>
        <v>0.57743140246191327</v>
      </c>
      <c r="J2274" s="18">
        <f t="shared" si="1341"/>
        <v>0.17103249732917983</v>
      </c>
      <c r="K2274" s="18">
        <f t="shared" si="1341"/>
        <v>0.33106560972700061</v>
      </c>
    </row>
    <row r="2275" spans="2:11" x14ac:dyDescent="0.35">
      <c r="B2275" s="5" t="str">
        <f t="shared" si="1322"/>
        <v>SPS3</v>
      </c>
      <c r="C2275" s="5" t="str">
        <f t="shared" si="1323"/>
        <v>CH</v>
      </c>
      <c r="D2275" t="s">
        <v>2420</v>
      </c>
      <c r="E2275" t="str">
        <f t="shared" si="1319"/>
        <v>GWth/yr.</v>
      </c>
      <c r="F2275" s="1" cm="1">
        <f t="array" ref="F2275">SUMPRODUCT(([1]OUT_FinalEnergyCons!$B$4:$B$10000="var_ncap")*1,  (ISNUMBER(SEARCH("ITOT-SWHNGA*BR",[1]OUT_FinalEnergyCons!$A$4:$A$10000)))*1,[1]OUT_FinalEnergyCons!D$4:D$10000)</f>
        <v>0</v>
      </c>
      <c r="G2275" s="1" cm="1">
        <f t="array" ref="G2275">SUMPRODUCT(([1]OUT_FinalEnergyCons!$B$4:$B$10000="var_ncap")*1,  (ISNUMBER(SEARCH("ITOT-SWHNGA*BR",[1]OUT_FinalEnergyCons!$A$4:$A$10000)))*1,[1]OUT_FinalEnergyCons!E$4:E$10000)</f>
        <v>1.2180965599295399E-4</v>
      </c>
      <c r="H2275" s="1" cm="1">
        <f t="array" ref="H2275">SUMPRODUCT(([1]OUT_FinalEnergyCons!$B$4:$B$10000="var_ncap")*1,  (ISNUMBER(SEARCH("ITOT-SWHNGA*BR",[1]OUT_FinalEnergyCons!$A$4:$A$10000)))*1,[1]OUT_FinalEnergyCons!F$4:F$10000)</f>
        <v>9.9508160979949398E-2</v>
      </c>
      <c r="I2275" s="1" cm="1">
        <f t="array" ref="I2275">SUMPRODUCT(([1]OUT_FinalEnergyCons!$B$4:$B$10000="var_ncap")*1,  (ISNUMBER(SEARCH("ITOT-SWHNGA*BR",[1]OUT_FinalEnergyCons!$A$4:$A$10000)))*1,[1]OUT_FinalEnergyCons!G$4:G$10000)</f>
        <v>0.57742472612882101</v>
      </c>
      <c r="J2275" s="1" cm="1">
        <f t="array" ref="J2275">SUMPRODUCT(([1]OUT_FinalEnergyCons!$B$4:$B$10000="var_ncap")*1,  (ISNUMBER(SEARCH("ITOT-SWHNGA*BR",[1]OUT_FinalEnergyCons!$A$4:$A$10000)))*1,[1]OUT_FinalEnergyCons!H$4:H$10000)</f>
        <v>0.17098714433481599</v>
      </c>
      <c r="K2275" s="1" cm="1">
        <f t="array" ref="K2275">SUMPRODUCT(([1]OUT_FinalEnergyCons!$B$4:$B$10000="var_ncap")*1,  (ISNUMBER(SEARCH("ITOT-SWHNGA*BR",[1]OUT_FinalEnergyCons!$A$4:$A$10000)))*1,[1]OUT_FinalEnergyCons!I$4:I$10000)</f>
        <v>0.33095019885016402</v>
      </c>
    </row>
    <row r="2276" spans="2:11" x14ac:dyDescent="0.35">
      <c r="B2276" s="5" t="str">
        <f t="shared" si="1322"/>
        <v>SPS3</v>
      </c>
      <c r="C2276" s="5" t="str">
        <f t="shared" si="1323"/>
        <v>CH</v>
      </c>
      <c r="D2276" t="s">
        <v>2421</v>
      </c>
      <c r="E2276" t="str">
        <f t="shared" si="1319"/>
        <v>GWth/yr.</v>
      </c>
      <c r="F2276" s="1" cm="1">
        <f t="array" ref="F2276">SUMPRODUCT(([1]OUT_FinalEnergyCons!$B$4:$B$10000="var_ncap")*1,  (ISNUMBER(SEARCH("ITOT-SWHNGAHP",[1]OUT_FinalEnergyCons!$A$4:$A$10000)))*1,[1]OUT_FinalEnergyCons!D$4:D$10000)</f>
        <v>0</v>
      </c>
      <c r="G2276" s="1" cm="1">
        <f t="array" ref="G2276">SUMPRODUCT(([1]OUT_FinalEnergyCons!$B$4:$B$10000="var_ncap")*1,  (ISNUMBER(SEARCH("ITOT-SWHNGAHP",[1]OUT_FinalEnergyCons!$A$4:$A$10000)))*1,[1]OUT_FinalEnergyCons!E$4:E$10000)</f>
        <v>1.03146710335858E-4</v>
      </c>
      <c r="H2276" s="1" cm="1">
        <f t="array" ref="H2276">SUMPRODUCT(([1]OUT_FinalEnergyCons!$B$4:$B$10000="var_ncap")*1,  (ISNUMBER(SEARCH("ITOT-SWHNGAHP",[1]OUT_FinalEnergyCons!$A$4:$A$10000)))*1,[1]OUT_FinalEnergyCons!F$4:F$10000)</f>
        <v>5.3731667597317395E-4</v>
      </c>
      <c r="I2276" s="1" cm="1">
        <f t="array" ref="I2276">SUMPRODUCT(([1]OUT_FinalEnergyCons!$B$4:$B$10000="var_ncap")*1,  (ISNUMBER(SEARCH("ITOT-SWHNGAHP",[1]OUT_FinalEnergyCons!$A$4:$A$10000)))*1,[1]OUT_FinalEnergyCons!G$4:G$10000)</f>
        <v>6.6763330922490702E-6</v>
      </c>
      <c r="J2276" s="1" cm="1">
        <f t="array" ref="J2276">SUMPRODUCT(([1]OUT_FinalEnergyCons!$B$4:$B$10000="var_ncap")*1,  (ISNUMBER(SEARCH("ITOT-SWHNGAHP",[1]OUT_FinalEnergyCons!$A$4:$A$10000)))*1,[1]OUT_FinalEnergyCons!H$4:H$10000)</f>
        <v>4.5352994363836099E-5</v>
      </c>
      <c r="K2276" s="1" cm="1">
        <f t="array" ref="K2276">SUMPRODUCT(([1]OUT_FinalEnergyCons!$B$4:$B$10000="var_ncap")*1,  (ISNUMBER(SEARCH("ITOT-SWHNGAHP",[1]OUT_FinalEnergyCons!$A$4:$A$10000)))*1,[1]OUT_FinalEnergyCons!I$4:I$10000)</f>
        <v>1.1541087683659799E-4</v>
      </c>
    </row>
    <row r="2277" spans="2:11" x14ac:dyDescent="0.35">
      <c r="B2277" s="5" t="str">
        <f t="shared" si="1322"/>
        <v>SPS3</v>
      </c>
      <c r="C2277" s="5" t="str">
        <f t="shared" si="1323"/>
        <v>CH</v>
      </c>
      <c r="D2277" t="s">
        <v>2422</v>
      </c>
      <c r="E2277" t="str">
        <f t="shared" si="1319"/>
        <v>GWth/yr.</v>
      </c>
      <c r="F2277" s="1" cm="1">
        <f t="array" ref="F2277">SUMPRODUCT(([1]OUT_FinalEnergyCons!$B$4:$B$10000="var_ncap")*1,  (("ITOT-SWHBIOBR"=[1]OUT_FinalEnergyCons!$A$4:$A$10000)*1+("ITOT-SWHBNGABR"=[1]OUT_FinalEnergyCons!$A$4:$A$10000))*1,[1]OUT_FinalEnergyCons!D$4:D$10000)</f>
        <v>0</v>
      </c>
      <c r="G2277" s="1" cm="1">
        <f t="array" ref="G2277">SUMPRODUCT(([1]OUT_FinalEnergyCons!$B$4:$B$10000="var_ncap")*1,  (("ITOT-SWHBIOBR"=[1]OUT_FinalEnergyCons!$A$4:$A$10000)*1+("ITOT-SWHBNGABR"=[1]OUT_FinalEnergyCons!$A$4:$A$10000))*1,[1]OUT_FinalEnergyCons!E$4:E$10000)</f>
        <v>7.25228757288684E-3</v>
      </c>
      <c r="H2277" s="1" cm="1">
        <f t="array" ref="H2277">SUMPRODUCT(([1]OUT_FinalEnergyCons!$B$4:$B$10000="var_ncap")*1,  (("ITOT-SWHBIOBR"=[1]OUT_FinalEnergyCons!$A$4:$A$10000)*1+("ITOT-SWHBNGABR"=[1]OUT_FinalEnergyCons!$A$4:$A$10000))*1,[1]OUT_FinalEnergyCons!F$4:F$10000)</f>
        <v>4.6587336987944697E-5</v>
      </c>
      <c r="I2277" s="1" cm="1">
        <f t="array" ref="I2277">SUMPRODUCT(([1]OUT_FinalEnergyCons!$B$4:$B$10000="var_ncap")*1,  (("ITOT-SWHBIOBR"=[1]OUT_FinalEnergyCons!$A$4:$A$10000)*1+("ITOT-SWHBNGABR"=[1]OUT_FinalEnergyCons!$A$4:$A$10000))*1,[1]OUT_FinalEnergyCons!G$4:G$10000)</f>
        <v>2.6288818371117899E-2</v>
      </c>
      <c r="J2277" s="1" cm="1">
        <f t="array" ref="J2277">SUMPRODUCT(([1]OUT_FinalEnergyCons!$B$4:$B$10000="var_ncap")*1,  (("ITOT-SWHBIOBR"=[1]OUT_FinalEnergyCons!$A$4:$A$10000)*1+("ITOT-SWHBNGABR"=[1]OUT_FinalEnergyCons!$A$4:$A$10000))*1,[1]OUT_FinalEnergyCons!H$4:H$10000)</f>
        <v>1.65358329131901E-2</v>
      </c>
      <c r="K2277" s="1" cm="1">
        <f t="array" ref="K2277">SUMPRODUCT(([1]OUT_FinalEnergyCons!$B$4:$B$10000="var_ncap")*1,  (("ITOT-SWHBIOBR"=[1]OUT_FinalEnergyCons!$A$4:$A$10000)*1+("ITOT-SWHBNGABR"=[1]OUT_FinalEnergyCons!$A$4:$A$10000))*1,[1]OUT_FinalEnergyCons!I$4:I$10000)</f>
        <v>3.7749754101170402E-2</v>
      </c>
    </row>
    <row r="2278" spans="2:11" x14ac:dyDescent="0.35">
      <c r="B2278" s="5" t="str">
        <f t="shared" si="1322"/>
        <v>SPS3</v>
      </c>
      <c r="C2278" s="5" t="str">
        <f t="shared" si="1323"/>
        <v>CH</v>
      </c>
      <c r="D2278" t="s">
        <v>2423</v>
      </c>
      <c r="E2278" t="str">
        <f t="shared" si="1319"/>
        <v>GWth/yr.</v>
      </c>
      <c r="F2278" s="1">
        <f t="shared" ref="F2278:K2278" si="1342">F2279</f>
        <v>0</v>
      </c>
      <c r="G2278" s="1">
        <f t="shared" si="1342"/>
        <v>1.2581401906475099E-5</v>
      </c>
      <c r="H2278" s="1">
        <f t="shared" si="1342"/>
        <v>1.0369929209165901E-5</v>
      </c>
      <c r="I2278" s="1">
        <f t="shared" si="1342"/>
        <v>1.42800454742127E-5</v>
      </c>
      <c r="J2278" s="1">
        <f t="shared" si="1342"/>
        <v>5.9704038729117599E-6</v>
      </c>
      <c r="K2278" s="1">
        <f t="shared" si="1342"/>
        <v>2.5558077419247598E-6</v>
      </c>
    </row>
    <row r="2279" spans="2:11" x14ac:dyDescent="0.35">
      <c r="B2279" s="5" t="str">
        <f t="shared" si="1322"/>
        <v>SPS3</v>
      </c>
      <c r="C2279" s="5" t="str">
        <f t="shared" si="1323"/>
        <v>CH</v>
      </c>
      <c r="D2279" t="s">
        <v>2424</v>
      </c>
      <c r="E2279" t="str">
        <f t="shared" si="1319"/>
        <v>GWth/yr.</v>
      </c>
      <c r="F2279" s="1" cm="1">
        <f t="array" ref="F2279">SUMPRODUCT(([1]OUT_FinalEnergyCons!$B$4:$B$10000="var_ncap")*1,  (ISNUMBER(SEARCH("ITOT-SWHCOA*BR",[1]OUT_FinalEnergyCons!$A$4:$A$10000)))*1,[1]OUT_FinalEnergyCons!D$4:D$10000)</f>
        <v>0</v>
      </c>
      <c r="G2279" s="1" cm="1">
        <f t="array" ref="G2279">SUMPRODUCT(([1]OUT_FinalEnergyCons!$B$4:$B$10000="var_ncap")*1,  (ISNUMBER(SEARCH("ITOT-SWHCOA*BR",[1]OUT_FinalEnergyCons!$A$4:$A$10000)))*1,[1]OUT_FinalEnergyCons!E$4:E$10000)</f>
        <v>1.2581401906475099E-5</v>
      </c>
      <c r="H2279" s="1" cm="1">
        <f t="array" ref="H2279">SUMPRODUCT(([1]OUT_FinalEnergyCons!$B$4:$B$10000="var_ncap")*1,  (ISNUMBER(SEARCH("ITOT-SWHCOA*BR",[1]OUT_FinalEnergyCons!$A$4:$A$10000)))*1,[1]OUT_FinalEnergyCons!F$4:F$10000)</f>
        <v>1.0369929209165901E-5</v>
      </c>
      <c r="I2279" s="1" cm="1">
        <f t="array" ref="I2279">SUMPRODUCT(([1]OUT_FinalEnergyCons!$B$4:$B$10000="var_ncap")*1,  (ISNUMBER(SEARCH("ITOT-SWHCOA*BR",[1]OUT_FinalEnergyCons!$A$4:$A$10000)))*1,[1]OUT_FinalEnergyCons!G$4:G$10000)</f>
        <v>1.42800454742127E-5</v>
      </c>
      <c r="J2279" s="1" cm="1">
        <f t="array" ref="J2279">SUMPRODUCT(([1]OUT_FinalEnergyCons!$B$4:$B$10000="var_ncap")*1,  (ISNUMBER(SEARCH("ITOT-SWHCOA*BR",[1]OUT_FinalEnergyCons!$A$4:$A$10000)))*1,[1]OUT_FinalEnergyCons!H$4:H$10000)</f>
        <v>5.9704038729117599E-6</v>
      </c>
      <c r="K2279" s="1" cm="1">
        <f t="array" ref="K2279">SUMPRODUCT(([1]OUT_FinalEnergyCons!$B$4:$B$10000="var_ncap")*1,  (ISNUMBER(SEARCH("ITOT-SWHCOA*BR",[1]OUT_FinalEnergyCons!$A$4:$A$10000)))*1,[1]OUT_FinalEnergyCons!I$4:I$10000)</f>
        <v>2.5558077419247598E-6</v>
      </c>
    </row>
    <row r="2280" spans="2:11" x14ac:dyDescent="0.35">
      <c r="B2280" s="5" t="str">
        <f t="shared" si="1322"/>
        <v>SPS3</v>
      </c>
      <c r="C2280" s="5" t="str">
        <f t="shared" si="1323"/>
        <v>CH</v>
      </c>
      <c r="D2280" t="s">
        <v>2425</v>
      </c>
      <c r="E2280" t="str">
        <f t="shared" si="1319"/>
        <v>GWth/yr.</v>
      </c>
      <c r="F2280" s="1">
        <f t="shared" ref="F2280:K2280" si="1343">F2281</f>
        <v>0</v>
      </c>
      <c r="G2280" s="1">
        <f t="shared" si="1343"/>
        <v>5.2856379627394499E-2</v>
      </c>
      <c r="H2280" s="1">
        <f t="shared" si="1343"/>
        <v>1.92467528227216E-5</v>
      </c>
      <c r="I2280" s="1">
        <f t="shared" si="1343"/>
        <v>1.8489052858406301E-3</v>
      </c>
      <c r="J2280" s="1">
        <f t="shared" si="1343"/>
        <v>1.1245923700565301E-4</v>
      </c>
      <c r="K2280" s="1">
        <f t="shared" si="1343"/>
        <v>5.6798124708360697E-5</v>
      </c>
    </row>
    <row r="2281" spans="2:11" x14ac:dyDescent="0.35">
      <c r="B2281" s="5" t="str">
        <f t="shared" si="1322"/>
        <v>SPS3</v>
      </c>
      <c r="C2281" s="5" t="str">
        <f t="shared" si="1323"/>
        <v>CH</v>
      </c>
      <c r="D2281" t="s">
        <v>2426</v>
      </c>
      <c r="E2281" t="str">
        <f t="shared" si="1319"/>
        <v>GWth/yr.</v>
      </c>
      <c r="F2281" s="1" cm="1">
        <f t="array" ref="F2281">SUMPRODUCT(([1]OUT_FinalEnergyCons!$B$4:$B$10000="var_ncap")*1,  (ISNUMBER(SEARCH("ITOT-SWHWOD*BR",[1]OUT_FinalEnergyCons!$A$4:$A$10000)))*1,[1]OUT_FinalEnergyCons!D$4:D$10000)</f>
        <v>0</v>
      </c>
      <c r="G2281" s="1" cm="1">
        <f t="array" ref="G2281">SUMPRODUCT(([1]OUT_FinalEnergyCons!$B$4:$B$10000="var_ncap")*1,  (ISNUMBER(SEARCH("ITOT-SWHWOD*BR",[1]OUT_FinalEnergyCons!$A$4:$A$10000)))*1,[1]OUT_FinalEnergyCons!E$4:E$10000)</f>
        <v>5.2856379627394499E-2</v>
      </c>
      <c r="H2281" s="1" cm="1">
        <f t="array" ref="H2281">SUMPRODUCT(([1]OUT_FinalEnergyCons!$B$4:$B$10000="var_ncap")*1,  (ISNUMBER(SEARCH("ITOT-SWHWOD*BR",[1]OUT_FinalEnergyCons!$A$4:$A$10000)))*1,[1]OUT_FinalEnergyCons!F$4:F$10000)</f>
        <v>1.92467528227216E-5</v>
      </c>
      <c r="I2281" s="1" cm="1">
        <f t="array" ref="I2281">SUMPRODUCT(([1]OUT_FinalEnergyCons!$B$4:$B$10000="var_ncap")*1,  (ISNUMBER(SEARCH("ITOT-SWHWOD*BR",[1]OUT_FinalEnergyCons!$A$4:$A$10000)))*1,[1]OUT_FinalEnergyCons!G$4:G$10000)</f>
        <v>1.8489052858406301E-3</v>
      </c>
      <c r="J2281" s="1" cm="1">
        <f t="array" ref="J2281">SUMPRODUCT(([1]OUT_FinalEnergyCons!$B$4:$B$10000="var_ncap")*1,  (ISNUMBER(SEARCH("ITOT-SWHWOD*BR",[1]OUT_FinalEnergyCons!$A$4:$A$10000)))*1,[1]OUT_FinalEnergyCons!H$4:H$10000)</f>
        <v>1.1245923700565301E-4</v>
      </c>
      <c r="K2281" s="1" cm="1">
        <f t="array" ref="K2281">SUMPRODUCT(([1]OUT_FinalEnergyCons!$B$4:$B$10000="var_ncap")*1,  (ISNUMBER(SEARCH("ITOT-SWHWOD*BR",[1]OUT_FinalEnergyCons!$A$4:$A$10000)))*1,[1]OUT_FinalEnergyCons!I$4:I$10000)</f>
        <v>5.6798124708360697E-5</v>
      </c>
    </row>
    <row r="2282" spans="2:11" x14ac:dyDescent="0.35">
      <c r="B2282" s="5" t="str">
        <f t="shared" si="1322"/>
        <v>SPS3</v>
      </c>
      <c r="C2282" s="5" t="str">
        <f t="shared" si="1323"/>
        <v>CH</v>
      </c>
      <c r="D2282" t="s">
        <v>2427</v>
      </c>
      <c r="E2282" t="str">
        <f t="shared" si="1319"/>
        <v>GWth/yr.</v>
      </c>
      <c r="F2282" s="1">
        <f t="shared" ref="F2282:K2282" si="1344">F2283</f>
        <v>0</v>
      </c>
      <c r="G2282" s="1">
        <f t="shared" si="1344"/>
        <v>8.1915019639530306E-3</v>
      </c>
      <c r="H2282" s="1">
        <f t="shared" si="1344"/>
        <v>5.71170348829583E-5</v>
      </c>
      <c r="I2282" s="1">
        <f t="shared" si="1344"/>
        <v>3.4675094650450498E-5</v>
      </c>
      <c r="J2282" s="1">
        <f t="shared" si="1344"/>
        <v>0.15770747320201101</v>
      </c>
      <c r="K2282" s="1">
        <f t="shared" si="1344"/>
        <v>0.29658839485907401</v>
      </c>
    </row>
    <row r="2283" spans="2:11" x14ac:dyDescent="0.35">
      <c r="B2283" s="5" t="str">
        <f t="shared" si="1322"/>
        <v>SPS3</v>
      </c>
      <c r="C2283" s="5" t="str">
        <f t="shared" si="1323"/>
        <v>CH</v>
      </c>
      <c r="D2283" t="s">
        <v>2428</v>
      </c>
      <c r="E2283" t="str">
        <f t="shared" si="1319"/>
        <v>GWth/yr.</v>
      </c>
      <c r="F2283" s="1" cm="1">
        <f t="array" ref="F2283">SUMPRODUCT(([1]OUT_FinalEnergyCons!$B$4:$B$10000="var_ncap")*1,  (ISNUMBER(SEARCH("ITOT-SWHPLT*BR",[1]OUT_FinalEnergyCons!$A$4:$A$10000)))*1,[1]OUT_FinalEnergyCons!D$4:D$10000)</f>
        <v>0</v>
      </c>
      <c r="G2283" s="1" cm="1">
        <f t="array" ref="G2283">SUMPRODUCT(([1]OUT_FinalEnergyCons!$B$4:$B$10000="var_ncap")*1,  (ISNUMBER(SEARCH("ITOT-SWHPLT*BR",[1]OUT_FinalEnergyCons!$A$4:$A$10000)))*1,[1]OUT_FinalEnergyCons!E$4:E$10000)</f>
        <v>8.1915019639530306E-3</v>
      </c>
      <c r="H2283" s="1" cm="1">
        <f t="array" ref="H2283">SUMPRODUCT(([1]OUT_FinalEnergyCons!$B$4:$B$10000="var_ncap")*1,  (ISNUMBER(SEARCH("ITOT-SWHPLT*BR",[1]OUT_FinalEnergyCons!$A$4:$A$10000)))*1,[1]OUT_FinalEnergyCons!F$4:F$10000)</f>
        <v>5.71170348829583E-5</v>
      </c>
      <c r="I2283" s="1" cm="1">
        <f t="array" ref="I2283">SUMPRODUCT(([1]OUT_FinalEnergyCons!$B$4:$B$10000="var_ncap")*1,  (ISNUMBER(SEARCH("ITOT-SWHPLT*BR",[1]OUT_FinalEnergyCons!$A$4:$A$10000)))*1,[1]OUT_FinalEnergyCons!G$4:G$10000)</f>
        <v>3.4675094650450498E-5</v>
      </c>
      <c r="J2283" s="1" cm="1">
        <f t="array" ref="J2283">SUMPRODUCT(([1]OUT_FinalEnergyCons!$B$4:$B$10000="var_ncap")*1,  (ISNUMBER(SEARCH("ITOT-SWHPLT*BR",[1]OUT_FinalEnergyCons!$A$4:$A$10000)))*1,[1]OUT_FinalEnergyCons!H$4:H$10000)</f>
        <v>0.15770747320201101</v>
      </c>
      <c r="K2283" s="1" cm="1">
        <f t="array" ref="K2283">SUMPRODUCT(([1]OUT_FinalEnergyCons!$B$4:$B$10000="var_ncap")*1,  (ISNUMBER(SEARCH("ITOT-SWHPLT*BR",[1]OUT_FinalEnergyCons!$A$4:$A$10000)))*1,[1]OUT_FinalEnergyCons!I$4:I$10000)</f>
        <v>0.29658839485907401</v>
      </c>
    </row>
    <row r="2284" spans="2:11" x14ac:dyDescent="0.35">
      <c r="B2284" s="5" t="str">
        <f t="shared" si="1322"/>
        <v>SPS3</v>
      </c>
      <c r="C2284" s="5" t="str">
        <f t="shared" si="1323"/>
        <v>CH</v>
      </c>
      <c r="D2284" t="s">
        <v>2429</v>
      </c>
      <c r="E2284" t="str">
        <f t="shared" si="1319"/>
        <v>GWth/yr.</v>
      </c>
      <c r="F2284" s="1">
        <f t="shared" ref="F2284:K2284" si="1345">F2285</f>
        <v>0</v>
      </c>
      <c r="G2284" s="1">
        <f t="shared" si="1345"/>
        <v>1.19527121997001E-5</v>
      </c>
      <c r="H2284" s="1">
        <f t="shared" si="1345"/>
        <v>1.0446382531454E-5</v>
      </c>
      <c r="I2284" s="1">
        <f t="shared" si="1345"/>
        <v>2.2464071711535201E-4</v>
      </c>
      <c r="J2284" s="1">
        <f t="shared" si="1345"/>
        <v>8.5964501851606104E-2</v>
      </c>
      <c r="K2284" s="1">
        <f t="shared" si="1345"/>
        <v>7.9149617584059007E-6</v>
      </c>
    </row>
    <row r="2285" spans="2:11" x14ac:dyDescent="0.35">
      <c r="B2285" s="5" t="str">
        <f t="shared" si="1322"/>
        <v>SPS3</v>
      </c>
      <c r="C2285" s="5" t="str">
        <f t="shared" si="1323"/>
        <v>CH</v>
      </c>
      <c r="D2285" t="s">
        <v>2430</v>
      </c>
      <c r="E2285" t="str">
        <f t="shared" si="1319"/>
        <v>GWth/yr.</v>
      </c>
      <c r="F2285" s="1" cm="1">
        <f t="array" ref="F2285">SUMPRODUCT(([1]OUT_FinalEnergyCons!$B$4:$B$10000="var_ncap")*1,  (ISNUMBER(SEARCH("ITOT-SWHWST*BR",[1]OUT_FinalEnergyCons!$A$4:$A$10000)))*1,[1]OUT_FinalEnergyCons!D$4:D$10000)</f>
        <v>0</v>
      </c>
      <c r="G2285" s="1" cm="1">
        <f t="array" ref="G2285">SUMPRODUCT(([1]OUT_FinalEnergyCons!$B$4:$B$10000="var_ncap")*1,  (ISNUMBER(SEARCH("ITOT-SWHWST*BR",[1]OUT_FinalEnergyCons!$A$4:$A$10000)))*1,[1]OUT_FinalEnergyCons!E$4:E$10000)</f>
        <v>1.19527121997001E-5</v>
      </c>
      <c r="H2285" s="1" cm="1">
        <f t="array" ref="H2285">SUMPRODUCT(([1]OUT_FinalEnergyCons!$B$4:$B$10000="var_ncap")*1,  (ISNUMBER(SEARCH("ITOT-SWHWST*BR",[1]OUT_FinalEnergyCons!$A$4:$A$10000)))*1,[1]OUT_FinalEnergyCons!F$4:F$10000)</f>
        <v>1.0446382531454E-5</v>
      </c>
      <c r="I2285" s="1" cm="1">
        <f t="array" ref="I2285">SUMPRODUCT(([1]OUT_FinalEnergyCons!$B$4:$B$10000="var_ncap")*1,  (ISNUMBER(SEARCH("ITOT-SWHWST*BR",[1]OUT_FinalEnergyCons!$A$4:$A$10000)))*1,[1]OUT_FinalEnergyCons!G$4:G$10000)</f>
        <v>2.2464071711535201E-4</v>
      </c>
      <c r="J2285" s="1" cm="1">
        <f t="array" ref="J2285">SUMPRODUCT(([1]OUT_FinalEnergyCons!$B$4:$B$10000="var_ncap")*1,  (ISNUMBER(SEARCH("ITOT-SWHWST*BR",[1]OUT_FinalEnergyCons!$A$4:$A$10000)))*1,[1]OUT_FinalEnergyCons!H$4:H$10000)</f>
        <v>8.5964501851606104E-2</v>
      </c>
      <c r="K2285" s="1" cm="1">
        <f t="array" ref="K2285">SUMPRODUCT(([1]OUT_FinalEnergyCons!$B$4:$B$10000="var_ncap")*1,  (ISNUMBER(SEARCH("ITOT-SWHWST*BR",[1]OUT_FinalEnergyCons!$A$4:$A$10000)))*1,[1]OUT_FinalEnergyCons!I$4:I$10000)</f>
        <v>7.9149617584059007E-6</v>
      </c>
    </row>
    <row r="2286" spans="2:11" x14ac:dyDescent="0.35">
      <c r="B2286" s="5" t="str">
        <f t="shared" si="1322"/>
        <v>SPS3</v>
      </c>
      <c r="C2286" s="5" t="str">
        <f t="shared" si="1323"/>
        <v>CH</v>
      </c>
      <c r="D2286" t="s">
        <v>2431</v>
      </c>
      <c r="E2286" t="str">
        <f t="shared" si="1319"/>
        <v>GWth/yr.</v>
      </c>
      <c r="F2286" s="1">
        <f t="shared" ref="F2286:K2286" si="1346">F2287</f>
        <v>0</v>
      </c>
      <c r="G2286" s="1">
        <f t="shared" si="1346"/>
        <v>9.0732797429993003E-2</v>
      </c>
      <c r="H2286" s="1">
        <f t="shared" si="1346"/>
        <v>3.4863070229186698E-7</v>
      </c>
      <c r="I2286" s="1">
        <f t="shared" si="1346"/>
        <v>0.23793094380461</v>
      </c>
      <c r="J2286" s="1">
        <f t="shared" si="1346"/>
        <v>0.137191963389455</v>
      </c>
      <c r="K2286" s="1">
        <f t="shared" si="1346"/>
        <v>0.23005464265787201</v>
      </c>
    </row>
    <row r="2287" spans="2:11" x14ac:dyDescent="0.35">
      <c r="B2287" s="5" t="str">
        <f t="shared" si="1322"/>
        <v>SPS3</v>
      </c>
      <c r="C2287" s="5" t="str">
        <f t="shared" si="1323"/>
        <v>CH</v>
      </c>
      <c r="D2287" t="s">
        <v>2432</v>
      </c>
      <c r="E2287" t="str">
        <f t="shared" si="1319"/>
        <v>GWth/yr.</v>
      </c>
      <c r="F2287" s="1" cm="1">
        <f t="array" ref="F2287">SUMPRODUCT(([1]OUT_FinalEnergyCons!$B$4:$B$10000="var_ncap")*1, (ISNUMBER(SEARCH("ITOT-SWHSOLBR",[1]OUT_FinalEnergyCons!$A$4:$A$10000)))*1,[1]OUT_FinalEnergyCons!D$4:D$10000)</f>
        <v>0</v>
      </c>
      <c r="G2287" s="1" cm="1">
        <f t="array" ref="G2287">SUMPRODUCT(([1]OUT_FinalEnergyCons!$B$4:$B$10000="var_ncap")*1, (ISNUMBER(SEARCH("ITOT-SWHSOLBR",[1]OUT_FinalEnergyCons!$A$4:$A$10000)))*1,[1]OUT_FinalEnergyCons!E$4:E$10000)</f>
        <v>9.0732797429993003E-2</v>
      </c>
      <c r="H2287" s="1" cm="1">
        <f t="array" ref="H2287">SUMPRODUCT(([1]OUT_FinalEnergyCons!$B$4:$B$10000="var_ncap")*1, (ISNUMBER(SEARCH("ITOT-SWHSOLBR",[1]OUT_FinalEnergyCons!$A$4:$A$10000)))*1,[1]OUT_FinalEnergyCons!F$4:F$10000)</f>
        <v>3.4863070229186698E-7</v>
      </c>
      <c r="I2287" s="1" cm="1">
        <f t="array" ref="I2287">SUMPRODUCT(([1]OUT_FinalEnergyCons!$B$4:$B$10000="var_ncap")*1, (ISNUMBER(SEARCH("ITOT-SWHSOLBR",[1]OUT_FinalEnergyCons!$A$4:$A$10000)))*1,[1]OUT_FinalEnergyCons!G$4:G$10000)</f>
        <v>0.23793094380461</v>
      </c>
      <c r="J2287" s="1" cm="1">
        <f t="array" ref="J2287">SUMPRODUCT(([1]OUT_FinalEnergyCons!$B$4:$B$10000="var_ncap")*1, (ISNUMBER(SEARCH("ITOT-SWHSOLBR",[1]OUT_FinalEnergyCons!$A$4:$A$10000)))*1,[1]OUT_FinalEnergyCons!H$4:H$10000)</f>
        <v>0.137191963389455</v>
      </c>
      <c r="K2287" s="1" cm="1">
        <f t="array" ref="K2287">SUMPRODUCT(([1]OUT_FinalEnergyCons!$B$4:$B$10000="var_ncap")*1, (ISNUMBER(SEARCH("ITOT-SWHSOLBR",[1]OUT_FinalEnergyCons!$A$4:$A$10000)))*1,[1]OUT_FinalEnergyCons!I$4:I$10000)</f>
        <v>0.23005464265787201</v>
      </c>
    </row>
    <row r="2288" spans="2:11" x14ac:dyDescent="0.35">
      <c r="B2288" s="5" t="str">
        <f t="shared" si="1322"/>
        <v>SPS3</v>
      </c>
      <c r="C2288" s="5" t="str">
        <f t="shared" si="1323"/>
        <v>CH</v>
      </c>
      <c r="D2288" t="s">
        <v>2433</v>
      </c>
      <c r="E2288" t="str">
        <f t="shared" si="1319"/>
        <v>GWth/yr.</v>
      </c>
      <c r="F2288" s="1">
        <f t="shared" ref="F2288:K2288" si="1347">F2289</f>
        <v>0</v>
      </c>
      <c r="G2288" s="1">
        <f t="shared" si="1347"/>
        <v>0</v>
      </c>
      <c r="H2288" s="1">
        <f t="shared" si="1347"/>
        <v>0</v>
      </c>
      <c r="I2288" s="1">
        <f t="shared" si="1347"/>
        <v>0</v>
      </c>
      <c r="J2288" s="1">
        <f t="shared" si="1347"/>
        <v>9.9450788916798302E-3</v>
      </c>
      <c r="K2288" s="1">
        <f t="shared" si="1347"/>
        <v>0.19390672963309599</v>
      </c>
    </row>
    <row r="2289" spans="2:11" x14ac:dyDescent="0.35">
      <c r="B2289" s="5" t="str">
        <f t="shared" si="1322"/>
        <v>SPS3</v>
      </c>
      <c r="C2289" s="5" t="str">
        <f t="shared" si="1323"/>
        <v>CH</v>
      </c>
      <c r="D2289" t="s">
        <v>2434</v>
      </c>
      <c r="E2289" t="str">
        <f t="shared" si="1319"/>
        <v>GWth/yr.</v>
      </c>
      <c r="F2289" s="1" cm="1">
        <f t="array" ref="F2289">SUMPRODUCT(([1]OUT_FinalEnergyCons!$B$4:$B$10000="var_ncap")*1, (ISNUMBER(SEARCH("ITOT-SWHH2BR",[1]OUT_FinalEnergyCons!$A$4:$A$10000)))*1,[1]OUT_FinalEnergyCons!D$4:D$10000)</f>
        <v>0</v>
      </c>
      <c r="G2289" s="1" cm="1">
        <f t="array" ref="G2289">SUMPRODUCT(([1]OUT_FinalEnergyCons!$B$4:$B$10000="var_ncap")*1, (ISNUMBER(SEARCH("ITOT-SWHH2BR",[1]OUT_FinalEnergyCons!$A$4:$A$10000)))*1,[1]OUT_FinalEnergyCons!E$4:E$10000)</f>
        <v>0</v>
      </c>
      <c r="H2289" s="1" cm="1">
        <f t="array" ref="H2289">SUMPRODUCT(([1]OUT_FinalEnergyCons!$B$4:$B$10000="var_ncap")*1, (ISNUMBER(SEARCH("ITOT-SWHH2BR",[1]OUT_FinalEnergyCons!$A$4:$A$10000)))*1,[1]OUT_FinalEnergyCons!F$4:F$10000)</f>
        <v>0</v>
      </c>
      <c r="I2289" s="1" cm="1">
        <f t="array" ref="I2289">SUMPRODUCT(([1]OUT_FinalEnergyCons!$B$4:$B$10000="var_ncap")*1, (ISNUMBER(SEARCH("ITOT-SWHH2BR",[1]OUT_FinalEnergyCons!$A$4:$A$10000)))*1,[1]OUT_FinalEnergyCons!G$4:G$10000)</f>
        <v>0</v>
      </c>
      <c r="J2289" s="1" cm="1">
        <f t="array" ref="J2289">SUMPRODUCT(([1]OUT_FinalEnergyCons!$B$4:$B$10000="var_ncap")*1, (ISNUMBER(SEARCH("ITOT-SWHH2BR",[1]OUT_FinalEnergyCons!$A$4:$A$10000)))*1,[1]OUT_FinalEnergyCons!H$4:H$10000)</f>
        <v>9.9450788916798302E-3</v>
      </c>
      <c r="K2289" s="1" cm="1">
        <f t="array" ref="K2289">SUMPRODUCT(([1]OUT_FinalEnergyCons!$B$4:$B$10000="var_ncap")*1, (ISNUMBER(SEARCH("ITOT-SWHH2BR",[1]OUT_FinalEnergyCons!$A$4:$A$10000)))*1,[1]OUT_FinalEnergyCons!I$4:I$10000)</f>
        <v>0.19390672963309599</v>
      </c>
    </row>
    <row r="2290" spans="2:11" x14ac:dyDescent="0.35">
      <c r="B2290" s="9" t="str">
        <f t="shared" si="1322"/>
        <v>SPS3</v>
      </c>
      <c r="C2290" s="9" t="str">
        <f t="shared" si="1323"/>
        <v>CH</v>
      </c>
      <c r="D2290" s="2" t="s">
        <v>2195</v>
      </c>
      <c r="E2290" s="9" t="str">
        <f t="shared" si="1319"/>
        <v>GWth/yr.</v>
      </c>
      <c r="F2290" s="17">
        <f t="shared" ref="F2290:K2290" si="1348">SUM(F2291,F2294,F2296,F2300,F2302,F2304,F2306)</f>
        <v>7.6737445154511106E-5</v>
      </c>
      <c r="G2290" s="17">
        <f t="shared" si="1348"/>
        <v>0.11044574330527536</v>
      </c>
      <c r="H2290" s="17">
        <f t="shared" si="1348"/>
        <v>0.23548206503834734</v>
      </c>
      <c r="I2290" s="17">
        <f t="shared" si="1348"/>
        <v>0.76555805195414339</v>
      </c>
      <c r="J2290" s="17">
        <f t="shared" si="1348"/>
        <v>1.6466853620598974</v>
      </c>
      <c r="K2290" s="17">
        <f t="shared" si="1348"/>
        <v>1.9069199385704105</v>
      </c>
    </row>
    <row r="2291" spans="2:11" x14ac:dyDescent="0.35">
      <c r="B2291" s="5" t="str">
        <f t="shared" si="1322"/>
        <v>SPS3</v>
      </c>
      <c r="C2291" s="5" t="str">
        <f t="shared" si="1323"/>
        <v>CH</v>
      </c>
      <c r="D2291" t="s">
        <v>2435</v>
      </c>
      <c r="E2291" t="str">
        <f t="shared" si="1319"/>
        <v>GWth/yr.</v>
      </c>
      <c r="F2291" s="1">
        <f t="shared" ref="F2291:K2291" si="1349">SUM(F2292:F2293)</f>
        <v>6.0148694220125886E-6</v>
      </c>
      <c r="G2291" s="1">
        <f t="shared" si="1349"/>
        <v>3.8067850587535996E-6</v>
      </c>
      <c r="H2291" s="1">
        <f t="shared" si="1349"/>
        <v>5.7633399734872061E-2</v>
      </c>
      <c r="I2291" s="1">
        <f t="shared" si="1349"/>
        <v>0.6010787347036598</v>
      </c>
      <c r="J2291" s="1">
        <f t="shared" si="1349"/>
        <v>0.85624983830847845</v>
      </c>
      <c r="K2291" s="1">
        <f t="shared" si="1349"/>
        <v>1.0136720768704155</v>
      </c>
    </row>
    <row r="2292" spans="2:11" x14ac:dyDescent="0.35">
      <c r="B2292" s="5" t="str">
        <f t="shared" si="1322"/>
        <v>SPS3</v>
      </c>
      <c r="C2292" s="5" t="str">
        <f t="shared" si="1323"/>
        <v>CH</v>
      </c>
      <c r="D2292" t="s">
        <v>2436</v>
      </c>
      <c r="E2292" t="str">
        <f t="shared" si="1319"/>
        <v>GWth/yr.</v>
      </c>
      <c r="F2292" s="1" cm="1">
        <f t="array" ref="F2292">SUMPRODUCT(([1]OUT_FinalEnergyCons!$B$4:$B$10000="var_ncap")*1, (ISNUMBER(SEARCH("SCOM-SHELCBR",[1]OUT_FinalEnergyCons!$A$4:$A$10000)))*1,[1]OUT_FinalEnergyCons!D$4:D$10000)</f>
        <v>5.5114397730413297E-6</v>
      </c>
      <c r="G2292" s="1" cm="1">
        <f t="array" ref="G2292">SUMPRODUCT(([1]OUT_FinalEnergyCons!$B$4:$B$10000="var_ncap")*1, (ISNUMBER(SEARCH("SCOM-SHELCBR",[1]OUT_FinalEnergyCons!$A$4:$A$10000)))*1,[1]OUT_FinalEnergyCons!E$4:E$10000)</f>
        <v>2.7329460090801298E-6</v>
      </c>
      <c r="H2292" s="1" cm="1">
        <f t="array" ref="H2292">SUMPRODUCT(([1]OUT_FinalEnergyCons!$B$4:$B$10000="var_ncap")*1, (ISNUMBER(SEARCH("SCOM-SHELCBR",[1]OUT_FinalEnergyCons!$A$4:$A$10000)))*1,[1]OUT_FinalEnergyCons!F$4:F$10000)</f>
        <v>2.4611287357635699E-6</v>
      </c>
      <c r="I2292" s="1" cm="1">
        <f t="array" ref="I2292">SUMPRODUCT(([1]OUT_FinalEnergyCons!$B$4:$B$10000="var_ncap")*1, (ISNUMBER(SEARCH("SCOM-SHELCBR",[1]OUT_FinalEnergyCons!$A$4:$A$10000)))*1,[1]OUT_FinalEnergyCons!G$4:G$10000)</f>
        <v>4.1468547108820902E-6</v>
      </c>
      <c r="J2292" s="1" cm="1">
        <f t="array" ref="J2292">SUMPRODUCT(([1]OUT_FinalEnergyCons!$B$4:$B$10000="var_ncap")*1, (ISNUMBER(SEARCH("SCOM-SHELCBR",[1]OUT_FinalEnergyCons!$A$4:$A$10000)))*1,[1]OUT_FinalEnergyCons!H$4:H$10000)</f>
        <v>1.10181373252515E-2</v>
      </c>
      <c r="K2292" s="1" cm="1">
        <f t="array" ref="K2292">SUMPRODUCT(([1]OUT_FinalEnergyCons!$B$4:$B$10000="var_ncap")*1, (ISNUMBER(SEARCH("SCOM-SHELCBR",[1]OUT_FinalEnergyCons!$A$4:$A$10000)))*1,[1]OUT_FinalEnergyCons!I$4:I$10000)</f>
        <v>1.4593971085293801E-5</v>
      </c>
    </row>
    <row r="2293" spans="2:11" x14ac:dyDescent="0.35">
      <c r="B2293" s="5" t="str">
        <f t="shared" si="1322"/>
        <v>SPS3</v>
      </c>
      <c r="C2293" s="5" t="str">
        <f t="shared" si="1323"/>
        <v>CH</v>
      </c>
      <c r="D2293" t="s">
        <v>2437</v>
      </c>
      <c r="E2293" t="str">
        <f t="shared" si="1319"/>
        <v>GWth/yr.</v>
      </c>
      <c r="F2293" s="1" cm="1">
        <f t="array" ref="F2293">SUMPRODUCT(([1]OUT_FinalEnergyCons!$B$4:$B$10000="var_ncap")*1, (ISNUMBER(SEARCH("SCOM-SHELCHP",[1]OUT_FinalEnergyCons!$A$4:$A$10000)))*1,[1]OUT_FinalEnergyCons!D$4:D$10000)</f>
        <v>5.0342964897125901E-7</v>
      </c>
      <c r="G2293" s="1" cm="1">
        <f t="array" ref="G2293">SUMPRODUCT(([1]OUT_FinalEnergyCons!$B$4:$B$10000="var_ncap")*1, (ISNUMBER(SEARCH("SCOM-SHELCHP",[1]OUT_FinalEnergyCons!$A$4:$A$10000)))*1,[1]OUT_FinalEnergyCons!E$4:E$10000)</f>
        <v>1.0738390496734701E-6</v>
      </c>
      <c r="H2293" s="1" cm="1">
        <f t="array" ref="H2293">SUMPRODUCT(([1]OUT_FinalEnergyCons!$B$4:$B$10000="var_ncap")*1, (ISNUMBER(SEARCH("SCOM-SHELCHP",[1]OUT_FinalEnergyCons!$A$4:$A$10000)))*1,[1]OUT_FinalEnergyCons!F$4:F$10000)</f>
        <v>5.76309386061363E-2</v>
      </c>
      <c r="I2293" s="1" cm="1">
        <f t="array" ref="I2293">SUMPRODUCT(([1]OUT_FinalEnergyCons!$B$4:$B$10000="var_ncap")*1, (ISNUMBER(SEARCH("SCOM-SHELCHP",[1]OUT_FinalEnergyCons!$A$4:$A$10000)))*1,[1]OUT_FinalEnergyCons!G$4:G$10000)</f>
        <v>0.60107458784894896</v>
      </c>
      <c r="J2293" s="1" cm="1">
        <f t="array" ref="J2293">SUMPRODUCT(([1]OUT_FinalEnergyCons!$B$4:$B$10000="var_ncap")*1, (ISNUMBER(SEARCH("SCOM-SHELCHP",[1]OUT_FinalEnergyCons!$A$4:$A$10000)))*1,[1]OUT_FinalEnergyCons!H$4:H$10000)</f>
        <v>0.84523170098322697</v>
      </c>
      <c r="K2293" s="1" cm="1">
        <f t="array" ref="K2293">SUMPRODUCT(([1]OUT_FinalEnergyCons!$B$4:$B$10000="var_ncap")*1, (ISNUMBER(SEARCH("SCOM-SHELCHP",[1]OUT_FinalEnergyCons!$A$4:$A$10000)))*1,[1]OUT_FinalEnergyCons!I$4:I$10000)</f>
        <v>1.0136574828993301</v>
      </c>
    </row>
    <row r="2294" spans="2:11" x14ac:dyDescent="0.35">
      <c r="B2294" s="5" t="str">
        <f t="shared" si="1322"/>
        <v>SPS3</v>
      </c>
      <c r="C2294" s="5" t="str">
        <f t="shared" si="1323"/>
        <v>CH</v>
      </c>
      <c r="D2294" t="s">
        <v>2438</v>
      </c>
      <c r="E2294" t="str">
        <f t="shared" si="1319"/>
        <v>GWth/yr.</v>
      </c>
      <c r="F2294" s="1">
        <f t="shared" ref="F2294:K2294" si="1350">F2295</f>
        <v>3.0928019112314002E-6</v>
      </c>
      <c r="G2294" s="1">
        <f t="shared" si="1350"/>
        <v>1.91275998209532E-6</v>
      </c>
      <c r="H2294" s="1">
        <f t="shared" si="1350"/>
        <v>1.3924179508278501E-6</v>
      </c>
      <c r="I2294" s="1">
        <f t="shared" si="1350"/>
        <v>2.1871621991216202E-6</v>
      </c>
      <c r="J2294" s="1">
        <f t="shared" si="1350"/>
        <v>8.7423190063913494E-6</v>
      </c>
      <c r="K2294" s="1">
        <f t="shared" si="1350"/>
        <v>6.0689463480070298E-7</v>
      </c>
    </row>
    <row r="2295" spans="2:11" x14ac:dyDescent="0.35">
      <c r="B2295" s="5" t="str">
        <f t="shared" si="1322"/>
        <v>SPS3</v>
      </c>
      <c r="C2295" s="5" t="str">
        <f t="shared" si="1323"/>
        <v>CH</v>
      </c>
      <c r="D2295" t="s">
        <v>2439</v>
      </c>
      <c r="E2295" t="str">
        <f t="shared" ref="E2295:E2307" si="1351">E2294</f>
        <v>GWth/yr.</v>
      </c>
      <c r="F2295" s="1" cm="1">
        <f t="array" ref="F2295">SUMPRODUCT(([1]OUT_FinalEnergyCons!$B$4:$B$10000="var_ncap")*1,(ISNUMBER(SEARCH("SCOM-SHLFOBR",[1]OUT_FinalEnergyCons!$A$4:$A$10000)))*1,[1]OUT_FinalEnergyCons!D$4:D$10000)</f>
        <v>3.0928019112314002E-6</v>
      </c>
      <c r="G2295" s="1" cm="1">
        <f t="array" ref="G2295">SUMPRODUCT(([1]OUT_FinalEnergyCons!$B$4:$B$10000="var_ncap")*1,(ISNUMBER(SEARCH("SCOM-SHLFOBR",[1]OUT_FinalEnergyCons!$A$4:$A$10000)))*1,[1]OUT_FinalEnergyCons!E$4:E$10000)</f>
        <v>1.91275998209532E-6</v>
      </c>
      <c r="H2295" s="1" cm="1">
        <f t="array" ref="H2295">SUMPRODUCT(([1]OUT_FinalEnergyCons!$B$4:$B$10000="var_ncap")*1,(ISNUMBER(SEARCH("SCOM-SHLFOBR",[1]OUT_FinalEnergyCons!$A$4:$A$10000)))*1,[1]OUT_FinalEnergyCons!F$4:F$10000)</f>
        <v>1.3924179508278501E-6</v>
      </c>
      <c r="I2295" s="1" cm="1">
        <f t="array" ref="I2295">SUMPRODUCT(([1]OUT_FinalEnergyCons!$B$4:$B$10000="var_ncap")*1,(ISNUMBER(SEARCH("SCOM-SHLFOBR",[1]OUT_FinalEnergyCons!$A$4:$A$10000)))*1,[1]OUT_FinalEnergyCons!G$4:G$10000)</f>
        <v>2.1871621991216202E-6</v>
      </c>
      <c r="J2295" s="1" cm="1">
        <f t="array" ref="J2295">SUMPRODUCT(([1]OUT_FinalEnergyCons!$B$4:$B$10000="var_ncap")*1,(ISNUMBER(SEARCH("SCOM-SHLFOBR",[1]OUT_FinalEnergyCons!$A$4:$A$10000)))*1,[1]OUT_FinalEnergyCons!H$4:H$10000)</f>
        <v>8.7423190063913494E-6</v>
      </c>
      <c r="K2295" s="1" cm="1">
        <f t="array" ref="K2295">SUMPRODUCT(([1]OUT_FinalEnergyCons!$B$4:$B$10000="var_ncap")*1,(ISNUMBER(SEARCH("SCOM-SHLFOBR",[1]OUT_FinalEnergyCons!$A$4:$A$10000)))*1,[1]OUT_FinalEnergyCons!I$4:I$10000)</f>
        <v>6.0689463480070298E-7</v>
      </c>
    </row>
    <row r="2296" spans="2:11" x14ac:dyDescent="0.35">
      <c r="B2296" s="5" t="str">
        <f t="shared" si="1322"/>
        <v>SPS3</v>
      </c>
      <c r="C2296" s="5" t="str">
        <f t="shared" si="1323"/>
        <v>CH</v>
      </c>
      <c r="D2296" t="s">
        <v>2440</v>
      </c>
      <c r="E2296" t="str">
        <f t="shared" si="1351"/>
        <v>GWth/yr.</v>
      </c>
      <c r="F2296" s="1">
        <f t="shared" ref="F2296:K2296" si="1352">SUM(F2297:F2299)</f>
        <v>2.9096201213859333E-6</v>
      </c>
      <c r="G2296" s="1">
        <f t="shared" si="1352"/>
        <v>1.1733687125383248E-4</v>
      </c>
      <c r="H2296" s="1">
        <f t="shared" si="1352"/>
        <v>0.17783913806099191</v>
      </c>
      <c r="I2296" s="1">
        <f t="shared" si="1352"/>
        <v>0.14438614322263385</v>
      </c>
      <c r="J2296" s="1">
        <f t="shared" si="1352"/>
        <v>0.28802281276702507</v>
      </c>
      <c r="K2296" s="1">
        <f t="shared" si="1352"/>
        <v>0.1616192678665373</v>
      </c>
    </row>
    <row r="2297" spans="2:11" x14ac:dyDescent="0.35">
      <c r="B2297" s="5" t="str">
        <f t="shared" si="1322"/>
        <v>SPS3</v>
      </c>
      <c r="C2297" s="5" t="str">
        <f t="shared" si="1323"/>
        <v>CH</v>
      </c>
      <c r="D2297" t="s">
        <v>2441</v>
      </c>
      <c r="E2297" t="str">
        <f t="shared" si="1351"/>
        <v>GWth/yr.</v>
      </c>
      <c r="F2297" s="1" cm="1">
        <f t="array" ref="F2297">SUMPRODUCT(([1]OUT_FinalEnergyCons!$B$4:$B$10000="var_ncap")*1, (ISNUMBER(SEARCH("SCOM-SHNGABR",[1]OUT_FinalEnergyCons!$A$4:$A$10000)))*1,[1]OUT_FinalEnergyCons!D$4:D$10000)</f>
        <v>3.8502877965161002E-7</v>
      </c>
      <c r="G2297" s="1" cm="1">
        <f t="array" ref="G2297">SUMPRODUCT(([1]OUT_FinalEnergyCons!$B$4:$B$10000="var_ncap")*1, (ISNUMBER(SEARCH("SCOM-SHNGABR",[1]OUT_FinalEnergyCons!$A$4:$A$10000)))*1,[1]OUT_FinalEnergyCons!E$4:E$10000)</f>
        <v>1.8239648067302801E-6</v>
      </c>
      <c r="H2297" s="1" cm="1">
        <f t="array" ref="H2297">SUMPRODUCT(([1]OUT_FinalEnergyCons!$B$4:$B$10000="var_ncap")*1, (ISNUMBER(SEARCH("SCOM-SHNGABR",[1]OUT_FinalEnergyCons!$A$4:$A$10000)))*1,[1]OUT_FinalEnergyCons!F$4:F$10000)</f>
        <v>1.52236128297734E-6</v>
      </c>
      <c r="I2297" s="1" cm="1">
        <f t="array" ref="I2297">SUMPRODUCT(([1]OUT_FinalEnergyCons!$B$4:$B$10000="var_ncap")*1, (ISNUMBER(SEARCH("SCOM-SHNGABR",[1]OUT_FinalEnergyCons!$A$4:$A$10000)))*1,[1]OUT_FinalEnergyCons!G$4:G$10000)</f>
        <v>2.5471679521778199E-6</v>
      </c>
      <c r="J2297" s="1" cm="1">
        <f t="array" ref="J2297">SUMPRODUCT(([1]OUT_FinalEnergyCons!$B$4:$B$10000="var_ncap")*1, (ISNUMBER(SEARCH("SCOM-SHNGABR",[1]OUT_FinalEnergyCons!$A$4:$A$10000)))*1,[1]OUT_FinalEnergyCons!H$4:H$10000)</f>
        <v>2.52036154441019E-2</v>
      </c>
      <c r="K2297" s="1" cm="1">
        <f t="array" ref="K2297">SUMPRODUCT(([1]OUT_FinalEnergyCons!$B$4:$B$10000="var_ncap")*1, (ISNUMBER(SEARCH("SCOM-SHNGABR",[1]OUT_FinalEnergyCons!$A$4:$A$10000)))*1,[1]OUT_FinalEnergyCons!I$4:I$10000)</f>
        <v>1.5568749785689601E-5</v>
      </c>
    </row>
    <row r="2298" spans="2:11" x14ac:dyDescent="0.35">
      <c r="B2298" s="5" t="str">
        <f t="shared" si="1322"/>
        <v>SPS3</v>
      </c>
      <c r="C2298" s="5" t="str">
        <f t="shared" si="1323"/>
        <v>CH</v>
      </c>
      <c r="D2298" t="s">
        <v>2442</v>
      </c>
      <c r="E2298" t="str">
        <f t="shared" si="1351"/>
        <v>GWth/yr.</v>
      </c>
      <c r="F2298" s="1" cm="1">
        <f t="array" ref="F2298">SUMPRODUCT(([1]OUT_FinalEnergyCons!$B$4:$B$10000="var_ncap")*1, (ISNUMBER(SEARCH("SCOM-SHngahp",[1]OUT_FinalEnergyCons!$A$4:$A$10000)))*1,[1]OUT_FinalEnergyCons!D$4:D$10000)</f>
        <v>9.4587576832422303E-7</v>
      </c>
      <c r="G2298" s="1" cm="1">
        <f t="array" ref="G2298">SUMPRODUCT(([1]OUT_FinalEnergyCons!$B$4:$B$10000="var_ncap")*1, (ISNUMBER(SEARCH("SCOM-SHngahp",[1]OUT_FinalEnergyCons!$A$4:$A$10000)))*1,[1]OUT_FinalEnergyCons!E$4:E$10000)</f>
        <v>1.03041336166389E-4</v>
      </c>
      <c r="H2298" s="1" cm="1">
        <f t="array" ref="H2298">SUMPRODUCT(([1]OUT_FinalEnergyCons!$B$4:$B$10000="var_ncap")*1, (ISNUMBER(SEARCH("SCOM-SHngahp",[1]OUT_FinalEnergyCons!$A$4:$A$10000)))*1,[1]OUT_FinalEnergyCons!F$4:F$10000)</f>
        <v>0.17783616846292899</v>
      </c>
      <c r="I2298" s="1" cm="1">
        <f t="array" ref="I2298">SUMPRODUCT(([1]OUT_FinalEnergyCons!$B$4:$B$10000="var_ncap")*1, (ISNUMBER(SEARCH("SCOM-SHngahp",[1]OUT_FinalEnergyCons!$A$4:$A$10000)))*1,[1]OUT_FinalEnergyCons!G$4:G$10000)</f>
        <v>0.144381839518197</v>
      </c>
      <c r="J2298" s="1" cm="1">
        <f t="array" ref="J2298">SUMPRODUCT(([1]OUT_FinalEnergyCons!$B$4:$B$10000="var_ncap")*1, (ISNUMBER(SEARCH("SCOM-SHngahp",[1]OUT_FinalEnergyCons!$A$4:$A$10000)))*1,[1]OUT_FinalEnergyCons!H$4:H$10000)</f>
        <v>0.26269670383354199</v>
      </c>
      <c r="K2298" s="1" cm="1">
        <f t="array" ref="K2298">SUMPRODUCT(([1]OUT_FinalEnergyCons!$B$4:$B$10000="var_ncap")*1, (ISNUMBER(SEARCH("SCOM-SHngahp",[1]OUT_FinalEnergyCons!$A$4:$A$10000)))*1,[1]OUT_FinalEnergyCons!I$4:I$10000)</f>
        <v>0.161546320824212</v>
      </c>
    </row>
    <row r="2299" spans="2:11" x14ac:dyDescent="0.35">
      <c r="B2299" s="5" t="str">
        <f t="shared" si="1322"/>
        <v>SPS3</v>
      </c>
      <c r="C2299" s="5" t="str">
        <f t="shared" si="1323"/>
        <v>CH</v>
      </c>
      <c r="D2299" t="s">
        <v>2443</v>
      </c>
      <c r="E2299" t="str">
        <f t="shared" si="1351"/>
        <v>GWth/yr.</v>
      </c>
      <c r="F2299" s="1" cm="1">
        <f t="array" ref="F2299">SUMPRODUCT(([1]OUT_FinalEnergyCons!$B$4:$B$10000="var_ncap")*1, (("SCOM-SHBIOBR"=[1]OUT_FinalEnergyCons!$A$4:$A$10000)*1+("SCOM-SHBNGABR"=[1]OUT_FinalEnergyCons!$A$4:$A$10000)*1),[1]OUT_FinalEnergyCons!D$4:D$10000)</f>
        <v>1.5787155734101E-6</v>
      </c>
      <c r="G2299" s="1" cm="1">
        <f t="array" ref="G2299">SUMPRODUCT(([1]OUT_FinalEnergyCons!$B$4:$B$10000="var_ncap")*1, (("SCOM-SHBIOBR"=[1]OUT_FinalEnergyCons!$A$4:$A$10000)*1+("SCOM-SHBNGABR"=[1]OUT_FinalEnergyCons!$A$4:$A$10000)*1),[1]OUT_FinalEnergyCons!E$4:E$10000)</f>
        <v>1.2471570280713201E-5</v>
      </c>
      <c r="H2299" s="1" cm="1">
        <f t="array" ref="H2299">SUMPRODUCT(([1]OUT_FinalEnergyCons!$B$4:$B$10000="var_ncap")*1, (("SCOM-SHBIOBR"=[1]OUT_FinalEnergyCons!$A$4:$A$10000)*1+("SCOM-SHBNGABR"=[1]OUT_FinalEnergyCons!$A$4:$A$10000)*1),[1]OUT_FinalEnergyCons!F$4:F$10000)</f>
        <v>1.4472367799328101E-6</v>
      </c>
      <c r="I2299" s="1" cm="1">
        <f t="array" ref="I2299">SUMPRODUCT(([1]OUT_FinalEnergyCons!$B$4:$B$10000="var_ncap")*1, (("SCOM-SHBIOBR"=[1]OUT_FinalEnergyCons!$A$4:$A$10000)*1+("SCOM-SHBNGABR"=[1]OUT_FinalEnergyCons!$A$4:$A$10000)*1),[1]OUT_FinalEnergyCons!G$4:G$10000)</f>
        <v>1.7565364846721899E-6</v>
      </c>
      <c r="J2299" s="1" cm="1">
        <f t="array" ref="J2299">SUMPRODUCT(([1]OUT_FinalEnergyCons!$B$4:$B$10000="var_ncap")*1, (("SCOM-SHBIOBR"=[1]OUT_FinalEnergyCons!$A$4:$A$10000)*1+("SCOM-SHBNGABR"=[1]OUT_FinalEnergyCons!$A$4:$A$10000)*1),[1]OUT_FinalEnergyCons!H$4:H$10000)</f>
        <v>1.2249348938118301E-4</v>
      </c>
      <c r="K2299" s="1" cm="1">
        <f t="array" ref="K2299">SUMPRODUCT(([1]OUT_FinalEnergyCons!$B$4:$B$10000="var_ncap")*1, (("SCOM-SHBIOBR"=[1]OUT_FinalEnergyCons!$A$4:$A$10000)*1+("SCOM-SHBNGABR"=[1]OUT_FinalEnergyCons!$A$4:$A$10000)*1),[1]OUT_FinalEnergyCons!I$4:I$10000)</f>
        <v>5.73782925395898E-5</v>
      </c>
    </row>
    <row r="2300" spans="2:11" x14ac:dyDescent="0.35">
      <c r="B2300" s="5" t="str">
        <f t="shared" si="1322"/>
        <v>SPS3</v>
      </c>
      <c r="C2300" s="5" t="str">
        <f t="shared" si="1323"/>
        <v>CH</v>
      </c>
      <c r="D2300" t="s">
        <v>2444</v>
      </c>
      <c r="E2300" t="str">
        <f t="shared" si="1351"/>
        <v>GWth/yr.</v>
      </c>
      <c r="F2300" s="1">
        <f t="shared" ref="F2300:K2300" si="1353">F2301</f>
        <v>2.4206890840769101E-5</v>
      </c>
      <c r="G2300" s="1">
        <f t="shared" si="1353"/>
        <v>7.7157305523768302E-2</v>
      </c>
      <c r="H2300" s="1">
        <f t="shared" si="1353"/>
        <v>3.1573680616741202E-6</v>
      </c>
      <c r="I2300" s="1">
        <f t="shared" si="1353"/>
        <v>2.6832416308413799E-6</v>
      </c>
      <c r="J2300" s="1">
        <f t="shared" si="1353"/>
        <v>5.4736831368058701E-2</v>
      </c>
      <c r="K2300" s="1">
        <f t="shared" si="1353"/>
        <v>1.1286917815620801E-3</v>
      </c>
    </row>
    <row r="2301" spans="2:11" x14ac:dyDescent="0.35">
      <c r="B2301" s="5" t="str">
        <f t="shared" si="1322"/>
        <v>SPS3</v>
      </c>
      <c r="C2301" s="5" t="str">
        <f t="shared" si="1323"/>
        <v>CH</v>
      </c>
      <c r="D2301" t="s">
        <v>2445</v>
      </c>
      <c r="E2301" t="str">
        <f t="shared" si="1351"/>
        <v>GWth/yr.</v>
      </c>
      <c r="F2301" s="1" cm="1">
        <f t="array" ref="F2301">SUMPRODUCT(([1]OUT_FinalEnergyCons!$B$4:$B$10000="var_ncap")*1, (ISNUMBER(SEARCH("SCOM-SHWODBR",[1]OUT_FinalEnergyCons!$A$4:$A$10000)))*1,[1]OUT_FinalEnergyCons!D$4:D$10000)</f>
        <v>2.4206890840769101E-5</v>
      </c>
      <c r="G2301" s="1" cm="1">
        <f t="array" ref="G2301">SUMPRODUCT(([1]OUT_FinalEnergyCons!$B$4:$B$10000="var_ncap")*1, (ISNUMBER(SEARCH("SCOM-SHWODBR",[1]OUT_FinalEnergyCons!$A$4:$A$10000)))*1,[1]OUT_FinalEnergyCons!E$4:E$10000)</f>
        <v>7.7157305523768302E-2</v>
      </c>
      <c r="H2301" s="1" cm="1">
        <f t="array" ref="H2301">SUMPRODUCT(([1]OUT_FinalEnergyCons!$B$4:$B$10000="var_ncap")*1, (ISNUMBER(SEARCH("SCOM-SHWODBR",[1]OUT_FinalEnergyCons!$A$4:$A$10000)))*1,[1]OUT_FinalEnergyCons!F$4:F$10000)</f>
        <v>3.1573680616741202E-6</v>
      </c>
      <c r="I2301" s="1" cm="1">
        <f t="array" ref="I2301">SUMPRODUCT(([1]OUT_FinalEnergyCons!$B$4:$B$10000="var_ncap")*1, (ISNUMBER(SEARCH("SCOM-SHWODBR",[1]OUT_FinalEnergyCons!$A$4:$A$10000)))*1,[1]OUT_FinalEnergyCons!G$4:G$10000)</f>
        <v>2.6832416308413799E-6</v>
      </c>
      <c r="J2301" s="1" cm="1">
        <f t="array" ref="J2301">SUMPRODUCT(([1]OUT_FinalEnergyCons!$B$4:$B$10000="var_ncap")*1, (ISNUMBER(SEARCH("SCOM-SHWODBR",[1]OUT_FinalEnergyCons!$A$4:$A$10000)))*1,[1]OUT_FinalEnergyCons!H$4:H$10000)</f>
        <v>5.4736831368058701E-2</v>
      </c>
      <c r="K2301" s="1" cm="1">
        <f t="array" ref="K2301">SUMPRODUCT(([1]OUT_FinalEnergyCons!$B$4:$B$10000="var_ncap")*1, (ISNUMBER(SEARCH("SCOM-SHWODBR",[1]OUT_FinalEnergyCons!$A$4:$A$10000)))*1,[1]OUT_FinalEnergyCons!I$4:I$10000)</f>
        <v>1.1286917815620801E-3</v>
      </c>
    </row>
    <row r="2302" spans="2:11" x14ac:dyDescent="0.35">
      <c r="B2302" s="5" t="str">
        <f t="shared" ref="B2302:B2335" si="1354">B2301</f>
        <v>SPS3</v>
      </c>
      <c r="C2302" s="5" t="str">
        <f t="shared" ref="C2302:C2335" si="1355">C2301</f>
        <v>CH</v>
      </c>
      <c r="D2302" t="s">
        <v>2446</v>
      </c>
      <c r="E2302" t="str">
        <f t="shared" si="1351"/>
        <v>GWth/yr.</v>
      </c>
      <c r="F2302" s="1">
        <f t="shared" ref="F2302:K2302" si="1356">F2303</f>
        <v>5.7193899703408898E-6</v>
      </c>
      <c r="G2302" s="1">
        <f t="shared" si="1356"/>
        <v>2.43720633914715E-2</v>
      </c>
      <c r="H2302" s="1">
        <f t="shared" si="1356"/>
        <v>6.0532975539317903E-7</v>
      </c>
      <c r="I2302" s="1">
        <f t="shared" si="1356"/>
        <v>2.0268129395578401E-6</v>
      </c>
      <c r="J2302" s="1">
        <f t="shared" si="1356"/>
        <v>2.4082969961439701E-3</v>
      </c>
      <c r="K2302" s="1">
        <f t="shared" si="1356"/>
        <v>5.0558890703844203E-7</v>
      </c>
    </row>
    <row r="2303" spans="2:11" x14ac:dyDescent="0.35">
      <c r="B2303" s="5" t="str">
        <f t="shared" si="1354"/>
        <v>SPS3</v>
      </c>
      <c r="C2303" s="5" t="str">
        <f t="shared" si="1355"/>
        <v>CH</v>
      </c>
      <c r="D2303" t="s">
        <v>2447</v>
      </c>
      <c r="E2303" t="str">
        <f t="shared" si="1351"/>
        <v>GWth/yr.</v>
      </c>
      <c r="F2303" s="1" cm="1">
        <f t="array" ref="F2303">SUMPRODUCT(([1]OUT_FinalEnergyCons!$B$4:$B$10000="var_ncap")*1,(ISNUMBER(SEARCH("SCOM-SHPLTBR",[1]OUT_FinalEnergyCons!$A$4:$A$10000)))*1,[1]OUT_FinalEnergyCons!D$4:D$10000)</f>
        <v>5.7193899703408898E-6</v>
      </c>
      <c r="G2303" s="1" cm="1">
        <f t="array" ref="G2303">SUMPRODUCT(([1]OUT_FinalEnergyCons!$B$4:$B$10000="var_ncap")*1,(ISNUMBER(SEARCH("SCOM-SHPLTBR",[1]OUT_FinalEnergyCons!$A$4:$A$10000)))*1,[1]OUT_FinalEnergyCons!E$4:E$10000)</f>
        <v>2.43720633914715E-2</v>
      </c>
      <c r="H2303" s="1" cm="1">
        <f t="array" ref="H2303">SUMPRODUCT(([1]OUT_FinalEnergyCons!$B$4:$B$10000="var_ncap")*1,(ISNUMBER(SEARCH("SCOM-SHPLTBR",[1]OUT_FinalEnergyCons!$A$4:$A$10000)))*1,[1]OUT_FinalEnergyCons!F$4:F$10000)</f>
        <v>6.0532975539317903E-7</v>
      </c>
      <c r="I2303" s="1" cm="1">
        <f t="array" ref="I2303">SUMPRODUCT(([1]OUT_FinalEnergyCons!$B$4:$B$10000="var_ncap")*1,(ISNUMBER(SEARCH("SCOM-SHPLTBR",[1]OUT_FinalEnergyCons!$A$4:$A$10000)))*1,[1]OUT_FinalEnergyCons!G$4:G$10000)</f>
        <v>2.0268129395578401E-6</v>
      </c>
      <c r="J2303" s="1" cm="1">
        <f t="array" ref="J2303">SUMPRODUCT(([1]OUT_FinalEnergyCons!$B$4:$B$10000="var_ncap")*1,(ISNUMBER(SEARCH("SCOM-SHPLTBR",[1]OUT_FinalEnergyCons!$A$4:$A$10000)))*1,[1]OUT_FinalEnergyCons!H$4:H$10000)</f>
        <v>2.4082969961439701E-3</v>
      </c>
      <c r="K2303" s="1" cm="1">
        <f t="array" ref="K2303">SUMPRODUCT(([1]OUT_FinalEnergyCons!$B$4:$B$10000="var_ncap")*1,(ISNUMBER(SEARCH("SCOM-SHPLTBR",[1]OUT_FinalEnergyCons!$A$4:$A$10000)))*1,[1]OUT_FinalEnergyCons!I$4:I$10000)</f>
        <v>5.0558890703844203E-7</v>
      </c>
    </row>
    <row r="2304" spans="2:11" x14ac:dyDescent="0.35">
      <c r="B2304" s="5" t="str">
        <f t="shared" si="1354"/>
        <v>SPS3</v>
      </c>
      <c r="C2304" s="5" t="str">
        <f t="shared" si="1355"/>
        <v>CH</v>
      </c>
      <c r="D2304" t="s">
        <v>2448</v>
      </c>
      <c r="E2304" t="str">
        <f t="shared" si="1351"/>
        <v>GWth/yr.</v>
      </c>
      <c r="F2304" s="1">
        <f t="shared" ref="F2304:K2304" si="1357">F2305</f>
        <v>3.4793872888771203E-5</v>
      </c>
      <c r="G2304" s="1">
        <f t="shared" si="1357"/>
        <v>8.7933179737408693E-3</v>
      </c>
      <c r="H2304" s="1">
        <f t="shared" si="1357"/>
        <v>4.3721267154650004E-6</v>
      </c>
      <c r="I2304" s="1">
        <f t="shared" si="1357"/>
        <v>2.0084414912599199E-2</v>
      </c>
      <c r="J2304" s="1">
        <f t="shared" si="1357"/>
        <v>6.2266134069721701E-2</v>
      </c>
      <c r="K2304" s="1">
        <f t="shared" si="1357"/>
        <v>0.13238732084034399</v>
      </c>
    </row>
    <row r="2305" spans="2:11" x14ac:dyDescent="0.35">
      <c r="B2305" s="5" t="str">
        <f t="shared" si="1354"/>
        <v>SPS3</v>
      </c>
      <c r="C2305" s="5" t="str">
        <f t="shared" si="1355"/>
        <v>CH</v>
      </c>
      <c r="D2305" t="s">
        <v>2449</v>
      </c>
      <c r="E2305" t="str">
        <f t="shared" si="1351"/>
        <v>GWth/yr.</v>
      </c>
      <c r="F2305" s="1" cm="1">
        <f t="array" ref="F2305">SUMPRODUCT(([1]OUT_FinalEnergyCons!$B$4:$B$10000="var_ncap")*1, (ISNUMBER(SEARCH("SCOM-SHSOLBR",[1]OUT_FinalEnergyCons!$A$4:$A$10000)))*1,[1]OUT_FinalEnergyCons!D$4:D$10000)</f>
        <v>3.4793872888771203E-5</v>
      </c>
      <c r="G2305" s="1" cm="1">
        <f t="array" ref="G2305">SUMPRODUCT(([1]OUT_FinalEnergyCons!$B$4:$B$10000="var_ncap")*1, (ISNUMBER(SEARCH("SCOM-SHSOLBR",[1]OUT_FinalEnergyCons!$A$4:$A$10000)))*1,[1]OUT_FinalEnergyCons!E$4:E$10000)</f>
        <v>8.7933179737408693E-3</v>
      </c>
      <c r="H2305" s="1" cm="1">
        <f t="array" ref="H2305">SUMPRODUCT(([1]OUT_FinalEnergyCons!$B$4:$B$10000="var_ncap")*1, (ISNUMBER(SEARCH("SCOM-SHSOLBR",[1]OUT_FinalEnergyCons!$A$4:$A$10000)))*1,[1]OUT_FinalEnergyCons!F$4:F$10000)</f>
        <v>4.3721267154650004E-6</v>
      </c>
      <c r="I2305" s="1" cm="1">
        <f t="array" ref="I2305">SUMPRODUCT(([1]OUT_FinalEnergyCons!$B$4:$B$10000="var_ncap")*1, (ISNUMBER(SEARCH("SCOM-SHSOLBR",[1]OUT_FinalEnergyCons!$A$4:$A$10000)))*1,[1]OUT_FinalEnergyCons!G$4:G$10000)</f>
        <v>2.0084414912599199E-2</v>
      </c>
      <c r="J2305" s="1" cm="1">
        <f t="array" ref="J2305">SUMPRODUCT(([1]OUT_FinalEnergyCons!$B$4:$B$10000="var_ncap")*1, (ISNUMBER(SEARCH("SCOM-SHSOLBR",[1]OUT_FinalEnergyCons!$A$4:$A$10000)))*1,[1]OUT_FinalEnergyCons!H$4:H$10000)</f>
        <v>6.2266134069721701E-2</v>
      </c>
      <c r="K2305" s="1" cm="1">
        <f t="array" ref="K2305">SUMPRODUCT(([1]OUT_FinalEnergyCons!$B$4:$B$10000="var_ncap")*1, (ISNUMBER(SEARCH("SCOM-SHSOLBR",[1]OUT_FinalEnergyCons!$A$4:$A$10000)))*1,[1]OUT_FinalEnergyCons!I$4:I$10000)</f>
        <v>0.13238732084034399</v>
      </c>
    </row>
    <row r="2306" spans="2:11" x14ac:dyDescent="0.35">
      <c r="B2306" s="5" t="str">
        <f t="shared" si="1354"/>
        <v>SPS3</v>
      </c>
      <c r="C2306" s="5" t="str">
        <f t="shared" si="1355"/>
        <v>CH</v>
      </c>
      <c r="D2306" t="s">
        <v>2450</v>
      </c>
      <c r="E2306" t="str">
        <f t="shared" si="1351"/>
        <v>GWth/yr.</v>
      </c>
      <c r="F2306" s="1">
        <f t="shared" ref="F2306:K2306" si="1358">F2307</f>
        <v>0</v>
      </c>
      <c r="G2306" s="1">
        <f t="shared" si="1358"/>
        <v>0</v>
      </c>
      <c r="H2306" s="1">
        <f t="shared" si="1358"/>
        <v>0</v>
      </c>
      <c r="I2306" s="1">
        <f t="shared" si="1358"/>
        <v>1.8618984809383199E-6</v>
      </c>
      <c r="J2306" s="1">
        <f t="shared" si="1358"/>
        <v>0.38299270623146298</v>
      </c>
      <c r="K2306" s="1">
        <f t="shared" si="1358"/>
        <v>0.59811146872801002</v>
      </c>
    </row>
    <row r="2307" spans="2:11" x14ac:dyDescent="0.35">
      <c r="B2307" s="5" t="str">
        <f t="shared" si="1354"/>
        <v>SPS3</v>
      </c>
      <c r="C2307" s="5" t="str">
        <f t="shared" si="1355"/>
        <v>CH</v>
      </c>
      <c r="D2307" t="s">
        <v>2451</v>
      </c>
      <c r="E2307" t="str">
        <f t="shared" si="1351"/>
        <v>GWth/yr.</v>
      </c>
      <c r="F2307" s="1" cm="1">
        <f t="array" ref="F2307">SUMPRODUCT(([1]OUT_FinalEnergyCons!$B$4:$B$10000="var_ncap")*1, (ISNUMBER(SEARCH("SCOM-SHH2BR",[1]OUT_FinalEnergyCons!$A$4:$A$10000)))*1,[1]OUT_FinalEnergyCons!D$4:D$10000)</f>
        <v>0</v>
      </c>
      <c r="G2307" s="1" cm="1">
        <f t="array" ref="G2307">SUMPRODUCT(([1]OUT_FinalEnergyCons!$B$4:$B$10000="var_ncap")*1, (ISNUMBER(SEARCH("SCOM-SHH2BR",[1]OUT_FinalEnergyCons!$A$4:$A$10000)))*1,[1]OUT_FinalEnergyCons!E$4:E$10000)</f>
        <v>0</v>
      </c>
      <c r="H2307" s="1" cm="1">
        <f t="array" ref="H2307">SUMPRODUCT(([1]OUT_FinalEnergyCons!$B$4:$B$10000="var_ncap")*1, (ISNUMBER(SEARCH("SCOM-SHH2BR",[1]OUT_FinalEnergyCons!$A$4:$A$10000)))*1,[1]OUT_FinalEnergyCons!F$4:F$10000)</f>
        <v>0</v>
      </c>
      <c r="I2307" s="1" cm="1">
        <f t="array" ref="I2307">SUMPRODUCT(([1]OUT_FinalEnergyCons!$B$4:$B$10000="var_ncap")*1, (ISNUMBER(SEARCH("SCOM-SHH2BR",[1]OUT_FinalEnergyCons!$A$4:$A$10000)))*1,[1]OUT_FinalEnergyCons!G$4:G$10000)</f>
        <v>1.8618984809383199E-6</v>
      </c>
      <c r="J2307" s="1" cm="1">
        <f t="array" ref="J2307">SUMPRODUCT(([1]OUT_FinalEnergyCons!$B$4:$B$10000="var_ncap")*1, (ISNUMBER(SEARCH("SCOM-SHH2BR",[1]OUT_FinalEnergyCons!$A$4:$A$10000)))*1,[1]OUT_FinalEnergyCons!H$4:H$10000)</f>
        <v>0.38299270623146298</v>
      </c>
      <c r="K2307" s="1" cm="1">
        <f t="array" ref="K2307">SUMPRODUCT(([1]OUT_FinalEnergyCons!$B$4:$B$10000="var_ncap")*1, (ISNUMBER(SEARCH("SCOM-SHH2BR",[1]OUT_FinalEnergyCons!$A$4:$A$10000)))*1,[1]OUT_FinalEnergyCons!I$4:I$10000)</f>
        <v>0.59811146872801002</v>
      </c>
    </row>
    <row r="2308" spans="2:11" x14ac:dyDescent="0.35">
      <c r="B2308" s="5" t="str">
        <f t="shared" si="1354"/>
        <v>SPS3</v>
      </c>
      <c r="C2308" s="5" t="str">
        <f t="shared" si="1355"/>
        <v>CH</v>
      </c>
      <c r="D2308" s="2" t="s">
        <v>2196</v>
      </c>
      <c r="E2308" s="2" t="s">
        <v>2155</v>
      </c>
      <c r="F2308" s="3">
        <f t="shared" ref="F2308:K2308" si="1359">SUM(F2309,F2313,F2316)</f>
        <v>4.9062128708347603E-4</v>
      </c>
      <c r="G2308" s="3">
        <f t="shared" si="1359"/>
        <v>8.3844883878563404E-6</v>
      </c>
      <c r="H2308" s="3">
        <f t="shared" si="1359"/>
        <v>1.2718548148663E-5</v>
      </c>
      <c r="I2308" s="3">
        <f t="shared" si="1359"/>
        <v>6.8872398854986501E-5</v>
      </c>
      <c r="J2308" s="3">
        <f t="shared" si="1359"/>
        <v>0.29540877335272392</v>
      </c>
      <c r="K2308" s="3">
        <f t="shared" si="1359"/>
        <v>1.6907634575110777</v>
      </c>
    </row>
    <row r="2309" spans="2:11" x14ac:dyDescent="0.35">
      <c r="B2309" s="5" t="str">
        <f t="shared" si="1354"/>
        <v>SPS3</v>
      </c>
      <c r="C2309" s="5" t="str">
        <f t="shared" si="1355"/>
        <v>CH</v>
      </c>
      <c r="D2309" t="s">
        <v>2452</v>
      </c>
      <c r="E2309" t="s">
        <v>2155</v>
      </c>
      <c r="F2309" s="1" cm="1">
        <f t="array" ref="F2309">SUMPRODUCT(ISNUMBER(SEARCH("SUP_ELCH2*",[1]OUT_SyntheticFuels!$C$4:$C$1000))*1,("var_ncap"=[1]OUT_SyntheticFuels!$B$4:$B$1000)*1,[1]OUT_SyntheticFuels!E$4:E$1000)</f>
        <v>4.9062128708347603E-4</v>
      </c>
      <c r="G2309" s="1" cm="1">
        <f t="array" ref="G2309">SUMPRODUCT(ISNUMBER(SEARCH("SUP_ELCH2*",[1]OUT_SyntheticFuels!$C$4:$C$1000))*1,("var_ncap"=[1]OUT_SyntheticFuels!$B$4:$B$1000)*1,[1]OUT_SyntheticFuels!F$4:F$1000)</f>
        <v>8.3844883878563404E-6</v>
      </c>
      <c r="H2309" s="1" cm="1">
        <f t="array" ref="H2309">SUMPRODUCT(ISNUMBER(SEARCH("SUP_ELCH2*",[1]OUT_SyntheticFuels!$C$4:$C$1000))*1,("var_ncap"=[1]OUT_SyntheticFuels!$B$4:$B$1000)*1,[1]OUT_SyntheticFuels!G$4:G$1000)</f>
        <v>1.2718548148663E-5</v>
      </c>
      <c r="I2309" s="1" cm="1">
        <f t="array" ref="I2309">SUMPRODUCT(ISNUMBER(SEARCH("SUP_ELCH2*",[1]OUT_SyntheticFuels!$C$4:$C$1000))*1,("var_ncap"=[1]OUT_SyntheticFuels!$B$4:$B$1000)*1,[1]OUT_SyntheticFuels!H$4:H$1000)</f>
        <v>6.7783778037103492E-5</v>
      </c>
      <c r="J2309" s="1" cm="1">
        <f t="array" ref="J2309">SUMPRODUCT(ISNUMBER(SEARCH("SUP_ELCH2*",[1]OUT_SyntheticFuels!$C$4:$C$1000))*1,("var_ncap"=[1]OUT_SyntheticFuels!$B$4:$B$1000)*1,[1]OUT_SyntheticFuels!I$4:I$1000)</f>
        <v>0.29540449689204501</v>
      </c>
      <c r="K2309" s="1" cm="1">
        <f t="array" ref="K2309">SUMPRODUCT(ISNUMBER(SEARCH("SUP_ELCH2*",[1]OUT_SyntheticFuels!$C$4:$C$1000))*1,("var_ncap"=[1]OUT_SyntheticFuels!$B$4:$B$1000)*1,[1]OUT_SyntheticFuels!J$4:J$1000)</f>
        <v>1.483626706212664</v>
      </c>
    </row>
    <row r="2310" spans="2:11" x14ac:dyDescent="0.35">
      <c r="B2310" s="5" t="str">
        <f t="shared" si="1354"/>
        <v>SPS3</v>
      </c>
      <c r="C2310" s="5" t="str">
        <f t="shared" si="1355"/>
        <v>CH</v>
      </c>
      <c r="D2310" t="s">
        <v>2453</v>
      </c>
      <c r="E2310" t="s">
        <v>2155</v>
      </c>
      <c r="F2310" s="1">
        <f t="shared" ref="F2310:K2310" si="1360">F2309-F2311-F2312</f>
        <v>4.9062128708347603E-4</v>
      </c>
      <c r="G2310" s="1">
        <f t="shared" si="1360"/>
        <v>8.3844883878563404E-6</v>
      </c>
      <c r="H2310" s="1">
        <f t="shared" si="1360"/>
        <v>1.2718548148663E-5</v>
      </c>
      <c r="I2310" s="1">
        <f t="shared" si="1360"/>
        <v>5.2189345286126193E-5</v>
      </c>
      <c r="J2310" s="1">
        <f t="shared" si="1360"/>
        <v>2.8372661223796669E-6</v>
      </c>
      <c r="K2310" s="1">
        <f t="shared" si="1360"/>
        <v>6.4987653723763028E-2</v>
      </c>
    </row>
    <row r="2311" spans="2:11" x14ac:dyDescent="0.35">
      <c r="B2311" s="5" t="str">
        <f t="shared" si="1354"/>
        <v>SPS3</v>
      </c>
      <c r="C2311" s="5" t="str">
        <f t="shared" si="1355"/>
        <v>CH</v>
      </c>
      <c r="D2311" t="s">
        <v>2454</v>
      </c>
      <c r="E2311" t="s">
        <v>2155</v>
      </c>
      <c r="F2311" s="1" cm="1">
        <f t="array" ref="F2311">SUMPRODUCT(ISNUMBER(SEARCH("SUP_ELCH2*D",[1]OUT_SyntheticFuels!$C$4:$C$1000))*1,("var_ncap"=[1]OUT_SyntheticFuels!$B$4:$B$1000)*1,[1]OUT_SyntheticFuels!E$4:E$1000)</f>
        <v>0</v>
      </c>
      <c r="G2311" s="1" cm="1">
        <f t="array" ref="G2311">SUMPRODUCT(ISNUMBER(SEARCH("SUP_ELCH2*D",[1]OUT_SyntheticFuels!$C$4:$C$1000))*1,("var_ncap"=[1]OUT_SyntheticFuels!$B$4:$B$1000)*1,[1]OUT_SyntheticFuels!F$4:F$1000)</f>
        <v>0</v>
      </c>
      <c r="H2311" s="1" cm="1">
        <f t="array" ref="H2311">SUMPRODUCT(ISNUMBER(SEARCH("SUP_ELCH2*D",[1]OUT_SyntheticFuels!$C$4:$C$1000))*1,("var_ncap"=[1]OUT_SyntheticFuels!$B$4:$B$1000)*1,[1]OUT_SyntheticFuels!G$4:G$1000)</f>
        <v>0</v>
      </c>
      <c r="I2311" s="1" cm="1">
        <f t="array" ref="I2311">SUMPRODUCT(ISNUMBER(SEARCH("SUP_ELCH2*D",[1]OUT_SyntheticFuels!$C$4:$C$1000))*1,("var_ncap"=[1]OUT_SyntheticFuels!$B$4:$B$1000)*1,[1]OUT_SyntheticFuels!H$4:H$1000)</f>
        <v>1.5594432750977299E-5</v>
      </c>
      <c r="J2311" s="1" cm="1">
        <f t="array" ref="J2311">SUMPRODUCT(ISNUMBER(SEARCH("SUP_ELCH2*D",[1]OUT_SyntheticFuels!$C$4:$C$1000))*1,("var_ncap"=[1]OUT_SyntheticFuels!$B$4:$B$1000)*1,[1]OUT_SyntheticFuels!I$4:I$1000)</f>
        <v>7.0826389789591205E-5</v>
      </c>
      <c r="K2311" s="1" cm="1">
        <f t="array" ref="K2311">SUMPRODUCT(ISNUMBER(SEARCH("SUP_ELCH2*D",[1]OUT_SyntheticFuels!$C$4:$C$1000))*1,("var_ncap"=[1]OUT_SyntheticFuels!$B$4:$B$1000)*1,[1]OUT_SyntheticFuels!J$4:J$1000)</f>
        <v>8.1661466810474108E-6</v>
      </c>
    </row>
    <row r="2312" spans="2:11" x14ac:dyDescent="0.35">
      <c r="B2312" s="5" t="str">
        <f t="shared" si="1354"/>
        <v>SPS3</v>
      </c>
      <c r="C2312" s="5" t="str">
        <f t="shared" si="1355"/>
        <v>CH</v>
      </c>
      <c r="D2312" t="s">
        <v>2455</v>
      </c>
      <c r="E2312" t="s">
        <v>2155</v>
      </c>
      <c r="F2312" s="1" cm="1">
        <f t="array" ref="F2312">SUMPRODUCT(ISNUMBER(SEARCH("SUP_ELCH2*SOEC*",[1]OUT_SyntheticFuels!$C$4:$C$1000))*1,("var_ncap"=[1]OUT_SyntheticFuels!$B$4:$B$1000)*1,[1]OUT_SyntheticFuels!E$4:E$1000)</f>
        <v>0</v>
      </c>
      <c r="G2312" s="1" cm="1">
        <f t="array" ref="G2312">SUMPRODUCT(ISNUMBER(SEARCH("SUP_ELCH2*SOEC*",[1]OUT_SyntheticFuels!$C$4:$C$1000))*1,("var_ncap"=[1]OUT_SyntheticFuels!$B$4:$B$1000)*1,[1]OUT_SyntheticFuels!F$4:F$1000)</f>
        <v>0</v>
      </c>
      <c r="H2312" s="1" cm="1">
        <f t="array" ref="H2312">SUMPRODUCT(ISNUMBER(SEARCH("SUP_ELCH2*SOEC*",[1]OUT_SyntheticFuels!$C$4:$C$1000))*1,("var_ncap"=[1]OUT_SyntheticFuels!$B$4:$B$1000)*1,[1]OUT_SyntheticFuels!G$4:G$1000)</f>
        <v>0</v>
      </c>
      <c r="I2312" s="1" cm="1">
        <f t="array" ref="I2312">SUMPRODUCT(ISNUMBER(SEARCH("SUP_ELCH2*SOEC*",[1]OUT_SyntheticFuels!$C$4:$C$1000))*1,("var_ncap"=[1]OUT_SyntheticFuels!$B$4:$B$1000)*1,[1]OUT_SyntheticFuels!H$4:H$1000)</f>
        <v>0</v>
      </c>
      <c r="J2312" s="1" cm="1">
        <f t="array" ref="J2312">SUMPRODUCT(ISNUMBER(SEARCH("SUP_ELCH2*SOEC*",[1]OUT_SyntheticFuels!$C$4:$C$1000))*1,("var_ncap"=[1]OUT_SyntheticFuels!$B$4:$B$1000)*1,[1]OUT_SyntheticFuels!I$4:I$1000)</f>
        <v>0.29533083323613302</v>
      </c>
      <c r="K2312" s="1" cm="1">
        <f t="array" ref="K2312">SUMPRODUCT(ISNUMBER(SEARCH("SUP_ELCH2*SOEC*",[1]OUT_SyntheticFuels!$C$4:$C$1000))*1,("var_ncap"=[1]OUT_SyntheticFuels!$B$4:$B$1000)*1,[1]OUT_SyntheticFuels!J$4:J$1000)</f>
        <v>1.4186308863422199</v>
      </c>
    </row>
    <row r="2313" spans="2:11" x14ac:dyDescent="0.35">
      <c r="B2313" s="5" t="str">
        <f t="shared" si="1354"/>
        <v>SPS3</v>
      </c>
      <c r="C2313" s="5" t="str">
        <f t="shared" si="1355"/>
        <v>CH</v>
      </c>
      <c r="D2313" t="s">
        <v>2456</v>
      </c>
      <c r="E2313" t="s">
        <v>2155</v>
      </c>
      <c r="F2313" s="1">
        <f t="shared" ref="F2313:K2313" si="1361">SUM(F2314:F2315)</f>
        <v>0</v>
      </c>
      <c r="G2313" s="1">
        <f t="shared" si="1361"/>
        <v>0</v>
      </c>
      <c r="H2313" s="1">
        <f t="shared" si="1361"/>
        <v>0</v>
      </c>
      <c r="I2313" s="1">
        <f t="shared" si="1361"/>
        <v>1.0886208178830101E-6</v>
      </c>
      <c r="J2313" s="1">
        <f t="shared" si="1361"/>
        <v>4.2764606788925901E-6</v>
      </c>
      <c r="K2313" s="1">
        <f t="shared" si="1361"/>
        <v>2.022128434695008E-4</v>
      </c>
    </row>
    <row r="2314" spans="2:11" x14ac:dyDescent="0.35">
      <c r="B2314" s="5" t="str">
        <f t="shared" si="1354"/>
        <v>SPS3</v>
      </c>
      <c r="C2314" s="5" t="str">
        <f t="shared" si="1355"/>
        <v>CH</v>
      </c>
      <c r="D2314" t="s">
        <v>2457</v>
      </c>
      <c r="E2314" t="s">
        <v>2155</v>
      </c>
      <c r="F2314" s="1" cm="1">
        <f t="array" ref="F2314">SUMPRODUCT(ISNUMBER(SEARCH("SUP_NGAH2",[1]OUT_SyntheticFuels!$C$4:$C$1000))*1,("var_ncap"=[1]OUT_SyntheticFuels!$B$4:$B$1000)*1,[1]OUT_SyntheticFuels!E$4:E$1000)-F2315</f>
        <v>0</v>
      </c>
      <c r="G2314" s="1" cm="1">
        <f t="array" ref="G2314">SUMPRODUCT(ISNUMBER(SEARCH("SUP_NGAH2",[1]OUT_SyntheticFuels!$C$4:$C$1000))*1,("var_ncap"=[1]OUT_SyntheticFuels!$B$4:$B$1000)*1,[1]OUT_SyntheticFuels!F$4:F$1000)-G2315</f>
        <v>0</v>
      </c>
      <c r="H2314" s="1" cm="1">
        <f t="array" ref="H2314">SUMPRODUCT(ISNUMBER(SEARCH("SUP_NGAH2",[1]OUT_SyntheticFuels!$C$4:$C$1000))*1,("var_ncap"=[1]OUT_SyntheticFuels!$B$4:$B$1000)*1,[1]OUT_SyntheticFuels!G$4:G$1000)-H2315</f>
        <v>0</v>
      </c>
      <c r="I2314" s="1" cm="1">
        <f t="array" ref="I2314">SUMPRODUCT(ISNUMBER(SEARCH("SUP_NGAH2",[1]OUT_SyntheticFuels!$C$4:$C$1000))*1,("var_ncap"=[1]OUT_SyntheticFuels!$B$4:$B$1000)*1,[1]OUT_SyntheticFuels!H$4:H$1000)-I2315</f>
        <v>1.0886208178830101E-6</v>
      </c>
      <c r="J2314" s="1" cm="1">
        <f t="array" ref="J2314">SUMPRODUCT(ISNUMBER(SEARCH("SUP_NGAH2",[1]OUT_SyntheticFuels!$C$4:$C$1000))*1,("var_ncap"=[1]OUT_SyntheticFuels!$B$4:$B$1000)*1,[1]OUT_SyntheticFuels!I$4:I$1000)-J2315</f>
        <v>2.8847397702389604E-6</v>
      </c>
      <c r="K2314" s="1" cm="1">
        <f t="array" ref="K2314">SUMPRODUCT(ISNUMBER(SEARCH("SUP_NGAH2",[1]OUT_SyntheticFuels!$C$4:$C$1000))*1,("var_ncap"=[1]OUT_SyntheticFuels!$B$4:$B$1000)*1,[1]OUT_SyntheticFuels!J$4:J$1000)-K2315</f>
        <v>1.21629001745436E-4</v>
      </c>
    </row>
    <row r="2315" spans="2:11" x14ac:dyDescent="0.35">
      <c r="B2315" s="5" t="str">
        <f t="shared" si="1354"/>
        <v>SPS3</v>
      </c>
      <c r="C2315" s="5" t="str">
        <f t="shared" si="1355"/>
        <v>CH</v>
      </c>
      <c r="D2315" t="s">
        <v>2458</v>
      </c>
      <c r="E2315" t="s">
        <v>2155</v>
      </c>
      <c r="F2315" s="1" cm="1">
        <f t="array" ref="F2315">SUMPRODUCT(ISNUMBER(SEARCH("SUP_NGAH2CCS",[1]OUT_SyntheticFuels!$C$4:$C$1000))*1,("var_ncap"=[1]OUT_SyntheticFuels!$B$4:$B$1000)*1,[1]OUT_SyntheticFuels!E$4:E$1000)</f>
        <v>0</v>
      </c>
      <c r="G2315" s="1" cm="1">
        <f t="array" ref="G2315">SUMPRODUCT(ISNUMBER(SEARCH("SUP_NGAH2CCS",[1]OUT_SyntheticFuels!$C$4:$C$1000))*1,("var_ncap"=[1]OUT_SyntheticFuels!$B$4:$B$1000)*1,[1]OUT_SyntheticFuels!F$4:F$1000)</f>
        <v>0</v>
      </c>
      <c r="H2315" s="1" cm="1">
        <f t="array" ref="H2315">SUMPRODUCT(ISNUMBER(SEARCH("SUP_NGAH2CCS",[1]OUT_SyntheticFuels!$C$4:$C$1000))*1,("var_ncap"=[1]OUT_SyntheticFuels!$B$4:$B$1000)*1,[1]OUT_SyntheticFuels!G$4:G$1000)</f>
        <v>0</v>
      </c>
      <c r="I2315" s="1" cm="1">
        <f t="array" ref="I2315">SUMPRODUCT(ISNUMBER(SEARCH("SUP_NGAH2CCS",[1]OUT_SyntheticFuels!$C$4:$C$1000))*1,("var_ncap"=[1]OUT_SyntheticFuels!$B$4:$B$1000)*1,[1]OUT_SyntheticFuels!H$4:H$1000)</f>
        <v>0</v>
      </c>
      <c r="J2315" s="1" cm="1">
        <f t="array" ref="J2315">SUMPRODUCT(ISNUMBER(SEARCH("SUP_NGAH2CCS",[1]OUT_SyntheticFuels!$C$4:$C$1000))*1,("var_ncap"=[1]OUT_SyntheticFuels!$B$4:$B$1000)*1,[1]OUT_SyntheticFuels!I$4:I$1000)</f>
        <v>1.3917209086536299E-6</v>
      </c>
      <c r="K2315" s="1" cm="1">
        <f t="array" ref="K2315">SUMPRODUCT(ISNUMBER(SEARCH("SUP_NGAH2CCS",[1]OUT_SyntheticFuels!$C$4:$C$1000))*1,("var_ncap"=[1]OUT_SyntheticFuels!$B$4:$B$1000)*1,[1]OUT_SyntheticFuels!J$4:J$1000)</f>
        <v>8.0583841724064795E-5</v>
      </c>
    </row>
    <row r="2316" spans="2:11" x14ac:dyDescent="0.35">
      <c r="B2316" s="5" t="str">
        <f t="shared" si="1354"/>
        <v>SPS3</v>
      </c>
      <c r="C2316" s="5" t="str">
        <f t="shared" si="1355"/>
        <v>CH</v>
      </c>
      <c r="D2316" t="s">
        <v>2459</v>
      </c>
      <c r="E2316" t="s">
        <v>2155</v>
      </c>
      <c r="F2316" s="1">
        <f t="shared" ref="F2316:K2316" si="1362">SUM(F2317:F2318)</f>
        <v>0</v>
      </c>
      <c r="G2316" s="1">
        <f t="shared" si="1362"/>
        <v>0</v>
      </c>
      <c r="H2316" s="1">
        <f t="shared" si="1362"/>
        <v>0</v>
      </c>
      <c r="I2316" s="1">
        <f t="shared" si="1362"/>
        <v>0</v>
      </c>
      <c r="J2316" s="1">
        <f t="shared" si="1362"/>
        <v>0</v>
      </c>
      <c r="K2316" s="1">
        <f t="shared" si="1362"/>
        <v>0.20693453845494414</v>
      </c>
    </row>
    <row r="2317" spans="2:11" x14ac:dyDescent="0.35">
      <c r="B2317" s="5" t="str">
        <f t="shared" si="1354"/>
        <v>SPS3</v>
      </c>
      <c r="C2317" s="5" t="str">
        <f t="shared" si="1355"/>
        <v>CH</v>
      </c>
      <c r="D2317" t="s">
        <v>2460</v>
      </c>
      <c r="E2317" t="s">
        <v>2155</v>
      </c>
      <c r="F2317" s="1" cm="1">
        <f t="array" ref="F2317">SUMPRODUCT(ISNUMBER(SEARCH("SUP_WODH2",[1]OUT_SyntheticFuels!$C$4:$C$1000))*1,("var_ncap"=[1]OUT_SyntheticFuels!$B$4:$B$1000)*1,[1]OUT_SyntheticFuels!E$4:E$1000)-F2318</f>
        <v>0</v>
      </c>
      <c r="G2317" s="1" cm="1">
        <f t="array" ref="G2317">SUMPRODUCT(ISNUMBER(SEARCH("SUP_WODH2",[1]OUT_SyntheticFuels!$C$4:$C$1000))*1,("var_ncap"=[1]OUT_SyntheticFuels!$B$4:$B$1000)*1,[1]OUT_SyntheticFuels!F$4:F$1000)-G2318</f>
        <v>0</v>
      </c>
      <c r="H2317" s="1" cm="1">
        <f t="array" ref="H2317">SUMPRODUCT(ISNUMBER(SEARCH("SUP_WODH2",[1]OUT_SyntheticFuels!$C$4:$C$1000))*1,("var_ncap"=[1]OUT_SyntheticFuels!$B$4:$B$1000)*1,[1]OUT_SyntheticFuels!G$4:G$1000)-H2318</f>
        <v>0</v>
      </c>
      <c r="I2317" s="1" cm="1">
        <f t="array" ref="I2317">SUMPRODUCT(ISNUMBER(SEARCH("SUP_WODH2",[1]OUT_SyntheticFuels!$C$4:$C$1000))*1,("var_ncap"=[1]OUT_SyntheticFuels!$B$4:$B$1000)*1,[1]OUT_SyntheticFuels!H$4:H$1000)-I2318</f>
        <v>0</v>
      </c>
      <c r="J2317" s="1" cm="1">
        <f t="array" ref="J2317">SUMPRODUCT(ISNUMBER(SEARCH("SUP_WODH2",[1]OUT_SyntheticFuels!$C$4:$C$1000))*1,("var_ncap"=[1]OUT_SyntheticFuels!$B$4:$B$1000)*1,[1]OUT_SyntheticFuels!I$4:I$1000)-J2318</f>
        <v>0</v>
      </c>
      <c r="K2317" s="1" cm="1">
        <f t="array" ref="K2317">SUMPRODUCT(ISNUMBER(SEARCH("SUP_WODH2",[1]OUT_SyntheticFuels!$C$4:$C$1000))*1,("var_ncap"=[1]OUT_SyntheticFuels!$B$4:$B$1000)*1,[1]OUT_SyntheticFuels!J$4:J$1000)-K2318</f>
        <v>4.3068873374130234E-5</v>
      </c>
    </row>
    <row r="2318" spans="2:11" x14ac:dyDescent="0.35">
      <c r="B2318" s="5" t="str">
        <f t="shared" si="1354"/>
        <v>SPS3</v>
      </c>
      <c r="C2318" s="5" t="str">
        <f t="shared" si="1355"/>
        <v>CH</v>
      </c>
      <c r="D2318" t="s">
        <v>2461</v>
      </c>
      <c r="E2318" t="s">
        <v>2155</v>
      </c>
      <c r="F2318" s="1" cm="1">
        <f t="array" ref="F2318">SUMPRODUCT(ISNUMBER(SEARCH("SUP_WODH2CCS",[1]OUT_SyntheticFuels!$C$4:$C$1000))*1,("var_ncap"=[1]OUT_SyntheticFuels!$B$4:$B$1000)*1,[1]OUT_SyntheticFuels!E$4:E$1000)</f>
        <v>0</v>
      </c>
      <c r="G2318" s="1" cm="1">
        <f t="array" ref="G2318">SUMPRODUCT(ISNUMBER(SEARCH("SUP_WODH2CCS",[1]OUT_SyntheticFuels!$C$4:$C$1000))*1,("var_ncap"=[1]OUT_SyntheticFuels!$B$4:$B$1000)*1,[1]OUT_SyntheticFuels!F$4:F$1000)</f>
        <v>0</v>
      </c>
      <c r="H2318" s="1" cm="1">
        <f t="array" ref="H2318">SUMPRODUCT(ISNUMBER(SEARCH("SUP_WODH2CCS",[1]OUT_SyntheticFuels!$C$4:$C$1000))*1,("var_ncap"=[1]OUT_SyntheticFuels!$B$4:$B$1000)*1,[1]OUT_SyntheticFuels!G$4:G$1000)</f>
        <v>0</v>
      </c>
      <c r="I2318" s="1" cm="1">
        <f t="array" ref="I2318">SUMPRODUCT(ISNUMBER(SEARCH("SUP_WODH2CCS",[1]OUT_SyntheticFuels!$C$4:$C$1000))*1,("var_ncap"=[1]OUT_SyntheticFuels!$B$4:$B$1000)*1,[1]OUT_SyntheticFuels!H$4:H$1000)</f>
        <v>0</v>
      </c>
      <c r="J2318" s="1" cm="1">
        <f t="array" ref="J2318">SUMPRODUCT(ISNUMBER(SEARCH("SUP_WODH2CCS",[1]OUT_SyntheticFuels!$C$4:$C$1000))*1,("var_ncap"=[1]OUT_SyntheticFuels!$B$4:$B$1000)*1,[1]OUT_SyntheticFuels!I$4:I$1000)</f>
        <v>0</v>
      </c>
      <c r="K2318" s="1" cm="1">
        <f t="array" ref="K2318">SUMPRODUCT(ISNUMBER(SEARCH("SUP_WODH2CCS",[1]OUT_SyntheticFuels!$C$4:$C$1000))*1,("var_ncap"=[1]OUT_SyntheticFuels!$B$4:$B$1000)*1,[1]OUT_SyntheticFuels!J$4:J$1000)</f>
        <v>0.20689146958157001</v>
      </c>
    </row>
    <row r="2319" spans="2:11" x14ac:dyDescent="0.35">
      <c r="B2319" s="5" t="str">
        <f t="shared" si="1354"/>
        <v>SPS3</v>
      </c>
      <c r="C2319" s="5" t="str">
        <f t="shared" si="1355"/>
        <v>CH</v>
      </c>
      <c r="D2319" s="2" t="s">
        <v>2197</v>
      </c>
      <c r="E2319" s="2" t="s">
        <v>2157</v>
      </c>
      <c r="F2319" s="26"/>
      <c r="G2319" s="26"/>
      <c r="H2319" s="26"/>
      <c r="I2319" s="26"/>
      <c r="J2319" s="26"/>
      <c r="K2319" s="26"/>
    </row>
    <row r="2320" spans="2:11" x14ac:dyDescent="0.35">
      <c r="B2320" s="5" t="str">
        <f t="shared" si="1354"/>
        <v>SPS3</v>
      </c>
      <c r="C2320" s="5" t="str">
        <f t="shared" si="1355"/>
        <v>CH</v>
      </c>
      <c r="D2320" t="s">
        <v>2462</v>
      </c>
      <c r="E2320" t="s">
        <v>2157</v>
      </c>
      <c r="F2320" s="7" cm="1">
        <f t="array" ref="F2320">SUMPRODUCT(("CT_CWODBDS"=[1]OUT_SyntheticFuels!$C$4:$C$1000)*1,("var_ncap"=[1]OUT_SyntheticFuels!$B$4:$B$1000)*1,[1]OUT_SyntheticFuels!E$4:E$1000)</f>
        <v>5.9309315886385295E-7</v>
      </c>
      <c r="G2320" s="7" cm="1">
        <f t="array" ref="G2320">SUMPRODUCT(("CT_CWODBDS"=[1]OUT_SyntheticFuels!$C$4:$C$1000)*1,("var_ncap"=[1]OUT_SyntheticFuels!$B$4:$B$1000)*1,[1]OUT_SyntheticFuels!F$4:F$1000)</f>
        <v>4.4466110424322799E-7</v>
      </c>
      <c r="H2320" s="7" cm="1">
        <f t="array" ref="H2320">SUMPRODUCT(("CT_CWODBDS"=[1]OUT_SyntheticFuels!$C$4:$C$1000)*1,("var_ncap"=[1]OUT_SyntheticFuels!$B$4:$B$1000)*1,[1]OUT_SyntheticFuels!G$4:G$1000)</f>
        <v>7.4256309367213996E-7</v>
      </c>
      <c r="I2320" s="7" cm="1">
        <f t="array" ref="I2320">SUMPRODUCT(("CT_CWODBDS"=[1]OUT_SyntheticFuels!$C$4:$C$1000)*1,("var_ncap"=[1]OUT_SyntheticFuels!$B$4:$B$1000)*1,[1]OUT_SyntheticFuels!H$4:H$1000)</f>
        <v>4.1697183097436597E-3</v>
      </c>
      <c r="J2320" s="7" cm="1">
        <f t="array" ref="J2320">SUMPRODUCT(("CT_CWODBDS"=[1]OUT_SyntheticFuels!$C$4:$C$1000)*1,("var_ncap"=[1]OUT_SyntheticFuels!$B$4:$B$1000)*1,[1]OUT_SyntheticFuels!I$4:I$1000)</f>
        <v>2.0577310433369002E-3</v>
      </c>
      <c r="K2320" s="7" cm="1">
        <f t="array" ref="K2320">SUMPRODUCT(("CT_CWODBDS"=[1]OUT_SyntheticFuels!$C$4:$C$1000)*1,("var_ncap"=[1]OUT_SyntheticFuels!$B$4:$B$1000)*1,[1]OUT_SyntheticFuels!J$4:J$1000)</f>
        <v>4.7423026677987101E-7</v>
      </c>
    </row>
    <row r="2321" spans="2:11" x14ac:dyDescent="0.35">
      <c r="B2321" s="5" t="str">
        <f t="shared" si="1354"/>
        <v>SPS3</v>
      </c>
      <c r="C2321" s="5" t="str">
        <f t="shared" si="1355"/>
        <v>CH</v>
      </c>
      <c r="D2321" t="s">
        <v>2463</v>
      </c>
      <c r="E2321" t="s">
        <v>2157</v>
      </c>
      <c r="F2321" s="7" cm="1">
        <f t="array" ref="F2321">SUMPRODUCT(("CT_CWODBDSCCS"=[1]OUT_SyntheticFuels!$C$4:$C$1000)*1,("var_ncap"=[1]OUT_SyntheticFuels!$B$4:$B$1000)*1,[1]OUT_SyntheticFuels!E$4:E$1000)</f>
        <v>0</v>
      </c>
      <c r="G2321" s="7" cm="1">
        <f t="array" ref="G2321">SUMPRODUCT(("CT_CWODBDSCCS"=[1]OUT_SyntheticFuels!$C$4:$C$1000)*1,("var_ncap"=[1]OUT_SyntheticFuels!$B$4:$B$1000)*1,[1]OUT_SyntheticFuels!F$4:F$1000)</f>
        <v>0</v>
      </c>
      <c r="H2321" s="7" cm="1">
        <f t="array" ref="H2321">SUMPRODUCT(("CT_CWODBDSCCS"=[1]OUT_SyntheticFuels!$C$4:$C$1000)*1,("var_ncap"=[1]OUT_SyntheticFuels!$B$4:$B$1000)*1,[1]OUT_SyntheticFuels!G$4:G$1000)</f>
        <v>0</v>
      </c>
      <c r="I2321" s="7" cm="1">
        <f t="array" ref="I2321">SUMPRODUCT(("CT_CWODBDSCCS"=[1]OUT_SyntheticFuels!$C$4:$C$1000)*1,("var_ncap"=[1]OUT_SyntheticFuels!$B$4:$B$1000)*1,[1]OUT_SyntheticFuels!H$4:H$1000)</f>
        <v>0</v>
      </c>
      <c r="J2321" s="7" cm="1">
        <f t="array" ref="J2321">SUMPRODUCT(("CT_CWODBDSCCS"=[1]OUT_SyntheticFuels!$C$4:$C$1000)*1,("var_ncap"=[1]OUT_SyntheticFuels!$B$4:$B$1000)*1,[1]OUT_SyntheticFuels!I$4:I$1000)</f>
        <v>2.8903225206738699E-5</v>
      </c>
      <c r="K2321" s="7" cm="1">
        <f t="array" ref="K2321">SUMPRODUCT(("CT_CWODBDSCCS"=[1]OUT_SyntheticFuels!$C$4:$C$1000)*1,("var_ncap"=[1]OUT_SyntheticFuels!$B$4:$B$1000)*1,[1]OUT_SyntheticFuels!J$4:J$1000)</f>
        <v>4.9353475132872998E-2</v>
      </c>
    </row>
    <row r="2322" spans="2:11" x14ac:dyDescent="0.35">
      <c r="B2322" s="5" t="str">
        <f t="shared" si="1354"/>
        <v>SPS3</v>
      </c>
      <c r="C2322" s="5" t="str">
        <f t="shared" si="1355"/>
        <v>CH</v>
      </c>
      <c r="D2322" t="s">
        <v>2464</v>
      </c>
      <c r="E2322" t="s">
        <v>2157</v>
      </c>
      <c r="F2322" s="7" cm="1">
        <f t="array" ref="F2322">SUMPRODUCT(("CT_CWODETH"=[1]OUT_SyntheticFuels!$C$4:$C$1000)*1,("var_ncap"=[1]OUT_SyntheticFuels!$B$4:$B$1000)*1,[1]OUT_SyntheticFuels!E$4:E$1000)</f>
        <v>2.9473412755895599E-3</v>
      </c>
      <c r="G2322" s="7" cm="1">
        <f t="array" ref="G2322">SUMPRODUCT(("CT_CWODETH"=[1]OUT_SyntheticFuels!$C$4:$C$1000)*1,("var_ncap"=[1]OUT_SyntheticFuels!$B$4:$B$1000)*1,[1]OUT_SyntheticFuels!F$4:F$1000)</f>
        <v>3.15220963876967E-3</v>
      </c>
      <c r="H2322" s="7" cm="1">
        <f t="array" ref="H2322">SUMPRODUCT(("CT_CWODETH"=[1]OUT_SyntheticFuels!$C$4:$C$1000)*1,("var_ncap"=[1]OUT_SyntheticFuels!$B$4:$B$1000)*1,[1]OUT_SyntheticFuels!G$4:G$1000)</f>
        <v>2.8925691669846599E-5</v>
      </c>
      <c r="I2322" s="7" cm="1">
        <f t="array" ref="I2322">SUMPRODUCT(("CT_CWODETH"=[1]OUT_SyntheticFuels!$C$4:$C$1000)*1,("var_ncap"=[1]OUT_SyntheticFuels!$B$4:$B$1000)*1,[1]OUT_SyntheticFuels!H$4:H$1000)</f>
        <v>6.9602963165229499E-7</v>
      </c>
      <c r="J2322" s="7" cm="1">
        <f t="array" ref="J2322">SUMPRODUCT(("CT_CWODETH"=[1]OUT_SyntheticFuels!$C$4:$C$1000)*1,("var_ncap"=[1]OUT_SyntheticFuels!$B$4:$B$1000)*1,[1]OUT_SyntheticFuels!I$4:I$1000)</f>
        <v>1.8454743968598399E-6</v>
      </c>
      <c r="K2322" s="7" cm="1">
        <f t="array" ref="K2322">SUMPRODUCT(("CT_CWODETH"=[1]OUT_SyntheticFuels!$C$4:$C$1000)*1,("var_ncap"=[1]OUT_SyntheticFuels!$B$4:$B$1000)*1,[1]OUT_SyntheticFuels!J$4:J$1000)</f>
        <v>2.55778513068466E-5</v>
      </c>
    </row>
    <row r="2323" spans="2:11" x14ac:dyDescent="0.35">
      <c r="B2323" s="5" t="str">
        <f t="shared" si="1354"/>
        <v>SPS3</v>
      </c>
      <c r="C2323" s="5" t="str">
        <f t="shared" si="1355"/>
        <v>CH</v>
      </c>
      <c r="D2323" t="s">
        <v>2465</v>
      </c>
      <c r="E2323" t="s">
        <v>2157</v>
      </c>
      <c r="F2323" s="7" cm="1">
        <f t="array" ref="F2323">SUMPRODUCT(("CT_CWODETHCCS"=[1]OUT_SyntheticFuels!$C$4:$C$1000)*1,("var_ncap"=[1]OUT_SyntheticFuels!$B$4:$B$1000)*1,[1]OUT_SyntheticFuels!E$4:E$1000)</f>
        <v>0</v>
      </c>
      <c r="G2323" s="7" cm="1">
        <f t="array" ref="G2323">SUMPRODUCT(("CT_CWODETHCCS"=[1]OUT_SyntheticFuels!$C$4:$C$1000)*1,("var_ncap"=[1]OUT_SyntheticFuels!$B$4:$B$1000)*1,[1]OUT_SyntheticFuels!F$4:F$1000)</f>
        <v>0</v>
      </c>
      <c r="H2323" s="7" cm="1">
        <f t="array" ref="H2323">SUMPRODUCT(("CT_CWODETHCCS"=[1]OUT_SyntheticFuels!$C$4:$C$1000)*1,("var_ncap"=[1]OUT_SyntheticFuels!$B$4:$B$1000)*1,[1]OUT_SyntheticFuels!G$4:G$1000)</f>
        <v>0</v>
      </c>
      <c r="I2323" s="7" cm="1">
        <f t="array" ref="I2323">SUMPRODUCT(("CT_CWODETHCCS"=[1]OUT_SyntheticFuels!$C$4:$C$1000)*1,("var_ncap"=[1]OUT_SyntheticFuels!$B$4:$B$1000)*1,[1]OUT_SyntheticFuels!H$4:H$1000)</f>
        <v>0</v>
      </c>
      <c r="J2323" s="7" cm="1">
        <f t="array" ref="J2323">SUMPRODUCT(("CT_CWODETHCCS"=[1]OUT_SyntheticFuels!$C$4:$C$1000)*1,("var_ncap"=[1]OUT_SyntheticFuels!$B$4:$B$1000)*1,[1]OUT_SyntheticFuels!I$4:I$1000)</f>
        <v>2.1671971266766799E-5</v>
      </c>
      <c r="K2323" s="7" cm="1">
        <f t="array" ref="K2323">SUMPRODUCT(("CT_CWODETHCCS"=[1]OUT_SyntheticFuels!$C$4:$C$1000)*1,("var_ncap"=[1]OUT_SyntheticFuels!$B$4:$B$1000)*1,[1]OUT_SyntheticFuels!J$4:J$1000)</f>
        <v>3.8734251436570498E-7</v>
      </c>
    </row>
    <row r="2324" spans="2:11" x14ac:dyDescent="0.35">
      <c r="B2324" s="5" t="str">
        <f t="shared" si="1354"/>
        <v>SPS3</v>
      </c>
      <c r="C2324" s="5" t="str">
        <f t="shared" si="1355"/>
        <v>CH</v>
      </c>
      <c r="D2324" t="s">
        <v>2466</v>
      </c>
      <c r="E2324" t="s">
        <v>2157</v>
      </c>
      <c r="F2324" s="7" cm="1">
        <f t="array" ref="F2324">SUMPRODUCT(("SUP_MNRBIO"=[1]OUT_SyntheticFuels!$C$4:$C$1000)*1,("var_ncap"=[1]OUT_SyntheticFuels!$B$4:$B$1000)*1,[1]OUT_SyntheticFuels!E$4:E$1000)</f>
        <v>5.2070904039103E-2</v>
      </c>
      <c r="G2324" s="7" cm="1">
        <f t="array" ref="G2324">SUMPRODUCT(("SUP_MNRBIO"=[1]OUT_SyntheticFuels!$C$4:$C$1000)*1,("var_ncap"=[1]OUT_SyntheticFuels!$B$4:$B$1000)*1,[1]OUT_SyntheticFuels!F$4:F$1000)</f>
        <v>0.110333408918991</v>
      </c>
      <c r="H2324" s="7" cm="1">
        <f t="array" ref="H2324">SUMPRODUCT(("SUP_MNRBIO"=[1]OUT_SyntheticFuels!$C$4:$C$1000)*1,("var_ncap"=[1]OUT_SyntheticFuels!$B$4:$B$1000)*1,[1]OUT_SyntheticFuels!G$4:G$1000)</f>
        <v>4.5728552749280602E-6</v>
      </c>
      <c r="I2324" s="7" cm="1">
        <f t="array" ref="I2324">SUMPRODUCT(("SUP_MNRBIO"=[1]OUT_SyntheticFuels!$C$4:$C$1000)*1,("var_ncap"=[1]OUT_SyntheticFuels!$B$4:$B$1000)*1,[1]OUT_SyntheticFuels!H$4:H$1000)</f>
        <v>4.3321569808422201E-6</v>
      </c>
      <c r="J2324" s="7" cm="1">
        <f t="array" ref="J2324">SUMPRODUCT(("SUP_MNRBIO"=[1]OUT_SyntheticFuels!$C$4:$C$1000)*1,("var_ncap"=[1]OUT_SyntheticFuels!$B$4:$B$1000)*1,[1]OUT_SyntheticFuels!I$4:I$1000)</f>
        <v>0.149375877749231</v>
      </c>
      <c r="K2324" s="7" cm="1">
        <f t="array" ref="K2324">SUMPRODUCT(("SUP_MNRBIO"=[1]OUT_SyntheticFuels!$C$4:$C$1000)*1,("var_ncap"=[1]OUT_SyntheticFuels!$B$4:$B$1000)*1,[1]OUT_SyntheticFuels!J$4:J$1000)</f>
        <v>0.200265763529096</v>
      </c>
    </row>
    <row r="2325" spans="2:11" x14ac:dyDescent="0.35">
      <c r="B2325" s="5" t="str">
        <f t="shared" si="1354"/>
        <v>SPS3</v>
      </c>
      <c r="C2325" s="5" t="str">
        <f t="shared" si="1355"/>
        <v>CH</v>
      </c>
      <c r="D2325" t="s">
        <v>2467</v>
      </c>
      <c r="E2325" t="s">
        <v>2157</v>
      </c>
      <c r="F2325" s="7" cm="1">
        <f t="array" ref="F2325">SUMPRODUCT(("SUP_WSTBIO"=[1]OUT_SyntheticFuels!$C$4:$C$1000)*1,("var_ncap"=[1]OUT_SyntheticFuels!$B$4:$B$1000)*1,[1]OUT_SyntheticFuels!E$4:E$1000)</f>
        <v>4.1121725061207502E-3</v>
      </c>
      <c r="G2325" s="7" cm="1">
        <f t="array" ref="G2325">SUMPRODUCT(("SUP_WSTBIO"=[1]OUT_SyntheticFuels!$C$4:$C$1000)*1,("var_ncap"=[1]OUT_SyntheticFuels!$B$4:$B$1000)*1,[1]OUT_SyntheticFuels!F$4:F$1000)</f>
        <v>2.2989748496898801E-2</v>
      </c>
      <c r="H2325" s="7" cm="1">
        <f t="array" ref="H2325">SUMPRODUCT(("SUP_WSTBIO"=[1]OUT_SyntheticFuels!$C$4:$C$1000)*1,("var_ncap"=[1]OUT_SyntheticFuels!$B$4:$B$1000)*1,[1]OUT_SyntheticFuels!G$4:G$1000)</f>
        <v>3.9633492978116704E-6</v>
      </c>
      <c r="I2325" s="7" cm="1">
        <f t="array" ref="I2325">SUMPRODUCT(("SUP_WSTBIO"=[1]OUT_SyntheticFuels!$C$4:$C$1000)*1,("var_ncap"=[1]OUT_SyntheticFuels!$B$4:$B$1000)*1,[1]OUT_SyntheticFuels!H$4:H$1000)</f>
        <v>7.6398848865921104E-2</v>
      </c>
      <c r="J2325" s="7" cm="1">
        <f t="array" ref="J2325">SUMPRODUCT(("SUP_WSTBIO"=[1]OUT_SyntheticFuels!$C$4:$C$1000)*1,("var_ncap"=[1]OUT_SyntheticFuels!$B$4:$B$1000)*1,[1]OUT_SyntheticFuels!I$4:I$1000)</f>
        <v>8.3696479562938601E-7</v>
      </c>
      <c r="K2325" s="7" cm="1">
        <f t="array" ref="K2325">SUMPRODUCT(("SUP_WSTBIO"=[1]OUT_SyntheticFuels!$C$4:$C$1000)*1,("var_ncap"=[1]OUT_SyntheticFuels!$B$4:$B$1000)*1,[1]OUT_SyntheticFuels!J$4:J$1000)</f>
        <v>6.8023931402129002E-7</v>
      </c>
    </row>
    <row r="2326" spans="2:11" x14ac:dyDescent="0.35">
      <c r="B2326" s="5" t="str">
        <f t="shared" si="1354"/>
        <v>SPS3</v>
      </c>
      <c r="C2326" s="5" t="str">
        <f t="shared" si="1355"/>
        <v>CH</v>
      </c>
      <c r="D2326" t="s">
        <v>2468</v>
      </c>
      <c r="E2326" t="s">
        <v>2157</v>
      </c>
      <c r="F2326" s="7" cm="1">
        <f t="array" ref="F2326">SUMPRODUCT(("SUP_WSTBIOCCS"=[1]OUT_SyntheticFuels!$C$4:$C$1000)*1,("var_ncap"=[1]OUT_SyntheticFuels!$B$4:$B$1000)*1,[1]OUT_SyntheticFuels!E$4:E$1000)</f>
        <v>0</v>
      </c>
      <c r="G2326" s="7" cm="1">
        <f t="array" ref="G2326">SUMPRODUCT(("SUP_WSTBIOCCS"=[1]OUT_SyntheticFuels!$C$4:$C$1000)*1,("var_ncap"=[1]OUT_SyntheticFuels!$B$4:$B$1000)*1,[1]OUT_SyntheticFuels!F$4:F$1000)</f>
        <v>0</v>
      </c>
      <c r="H2326" s="7" cm="1">
        <f t="array" ref="H2326">SUMPRODUCT(("SUP_WSTBIOCCS"=[1]OUT_SyntheticFuels!$C$4:$C$1000)*1,("var_ncap"=[1]OUT_SyntheticFuels!$B$4:$B$1000)*1,[1]OUT_SyntheticFuels!G$4:G$1000)</f>
        <v>0</v>
      </c>
      <c r="I2326" s="7" cm="1">
        <f t="array" ref="I2326">SUMPRODUCT(("SUP_WSTBIOCCS"=[1]OUT_SyntheticFuels!$C$4:$C$1000)*1,("var_ncap"=[1]OUT_SyntheticFuels!$B$4:$B$1000)*1,[1]OUT_SyntheticFuels!H$4:H$1000)</f>
        <v>0</v>
      </c>
      <c r="J2326" s="7" cm="1">
        <f t="array" ref="J2326">SUMPRODUCT(("SUP_WSTBIOCCS"=[1]OUT_SyntheticFuels!$C$4:$C$1000)*1,("var_ncap"=[1]OUT_SyntheticFuels!$B$4:$B$1000)*1,[1]OUT_SyntheticFuels!I$4:I$1000)</f>
        <v>0</v>
      </c>
      <c r="K2326" s="7" cm="1">
        <f t="array" ref="K2326">SUMPRODUCT(("SUP_WSTBIOCCS"=[1]OUT_SyntheticFuels!$C$4:$C$1000)*1,("var_ncap"=[1]OUT_SyntheticFuels!$B$4:$B$1000)*1,[1]OUT_SyntheticFuels!J$4:J$1000)</f>
        <v>0</v>
      </c>
    </row>
    <row r="2327" spans="2:11" x14ac:dyDescent="0.35">
      <c r="B2327" s="5" t="str">
        <f t="shared" si="1354"/>
        <v>SPS3</v>
      </c>
      <c r="C2327" s="5" t="str">
        <f t="shared" si="1355"/>
        <v>CH</v>
      </c>
      <c r="D2327" t="s">
        <v>2469</v>
      </c>
      <c r="E2327" t="s">
        <v>2157</v>
      </c>
      <c r="F2327" s="7" cm="1">
        <f t="array" ref="F2327">SUMPRODUCT(("SUP_WSTHTGBIO"=[1]OUT_SyntheticFuels!$C$4:$C$1000)*1,("var_ncap"=[1]OUT_SyntheticFuels!$B$4:$B$1000)*1,[1]OUT_SyntheticFuels!E$4:E$1000)</f>
        <v>0</v>
      </c>
      <c r="G2327" s="7" cm="1">
        <f t="array" ref="G2327">SUMPRODUCT(("SUP_WSTHTGBIO"=[1]OUT_SyntheticFuels!$C$4:$C$1000)*1,("var_ncap"=[1]OUT_SyntheticFuels!$B$4:$B$1000)*1,[1]OUT_SyntheticFuels!F$4:F$1000)</f>
        <v>0</v>
      </c>
      <c r="H2327" s="7" cm="1">
        <f t="array" ref="H2327">SUMPRODUCT(("SUP_WSTHTGBIO"=[1]OUT_SyntheticFuels!$C$4:$C$1000)*1,("var_ncap"=[1]OUT_SyntheticFuels!$B$4:$B$1000)*1,[1]OUT_SyntheticFuels!G$4:G$1000)</f>
        <v>0</v>
      </c>
      <c r="I2327" s="7" cm="1">
        <f t="array" ref="I2327">SUMPRODUCT(("SUP_WSTHTGBIO"=[1]OUT_SyntheticFuels!$C$4:$C$1000)*1,("var_ncap"=[1]OUT_SyntheticFuels!$B$4:$B$1000)*1,[1]OUT_SyntheticFuels!H$4:H$1000)</f>
        <v>0</v>
      </c>
      <c r="J2327" s="7" cm="1">
        <f t="array" ref="J2327">SUMPRODUCT(("SUP_WSTHTGBIO"=[1]OUT_SyntheticFuels!$C$4:$C$1000)*1,("var_ncap"=[1]OUT_SyntheticFuels!$B$4:$B$1000)*1,[1]OUT_SyntheticFuels!I$4:I$1000)</f>
        <v>0.373140629661183</v>
      </c>
      <c r="K2327" s="7" cm="1">
        <f t="array" ref="K2327">SUMPRODUCT(("SUP_WSTHTGBIO"=[1]OUT_SyntheticFuels!$C$4:$C$1000)*1,("var_ncap"=[1]OUT_SyntheticFuels!$B$4:$B$1000)*1,[1]OUT_SyntheticFuels!J$4:J$1000)</f>
        <v>6.3754649920734402E-2</v>
      </c>
    </row>
    <row r="2328" spans="2:11" x14ac:dyDescent="0.35">
      <c r="B2328" s="5" t="str">
        <f t="shared" si="1354"/>
        <v>SPS3</v>
      </c>
      <c r="C2328" s="5" t="str">
        <f t="shared" si="1355"/>
        <v>CH</v>
      </c>
      <c r="D2328" t="s">
        <v>2470</v>
      </c>
      <c r="E2328" t="s">
        <v>2157</v>
      </c>
      <c r="F2328" s="7" cm="1">
        <f t="array" ref="F2328">SUMPRODUCT(("SUP_WSTHTGBIOCCS"=[1]OUT_SyntheticFuels!$C$4:$C$1000)*1,("var_ncap"=[1]OUT_SyntheticFuels!$B$4:$B$1000)*1,[1]OUT_SyntheticFuels!E$4:E$1000)</f>
        <v>0</v>
      </c>
      <c r="G2328" s="7" cm="1">
        <f t="array" ref="G2328">SUMPRODUCT(("SUP_WSTHTGBIOCCS"=[1]OUT_SyntheticFuels!$C$4:$C$1000)*1,("var_ncap"=[1]OUT_SyntheticFuels!$B$4:$B$1000)*1,[1]OUT_SyntheticFuels!F$4:F$1000)</f>
        <v>0</v>
      </c>
      <c r="H2328" s="7" cm="1">
        <f t="array" ref="H2328">SUMPRODUCT(("SUP_WSTHTGBIOCCS"=[1]OUT_SyntheticFuels!$C$4:$C$1000)*1,("var_ncap"=[1]OUT_SyntheticFuels!$B$4:$B$1000)*1,[1]OUT_SyntheticFuels!G$4:G$1000)</f>
        <v>0</v>
      </c>
      <c r="I2328" s="7" cm="1">
        <f t="array" ref="I2328">SUMPRODUCT(("SUP_WSTHTGBIOCCS"=[1]OUT_SyntheticFuels!$C$4:$C$1000)*1,("var_ncap"=[1]OUT_SyntheticFuels!$B$4:$B$1000)*1,[1]OUT_SyntheticFuels!H$4:H$1000)</f>
        <v>0</v>
      </c>
      <c r="J2328" s="7" cm="1">
        <f t="array" ref="J2328">SUMPRODUCT(("SUP_WSTHTGBIOCCS"=[1]OUT_SyntheticFuels!$C$4:$C$1000)*1,("var_ncap"=[1]OUT_SyntheticFuels!$B$4:$B$1000)*1,[1]OUT_SyntheticFuels!I$4:I$1000)</f>
        <v>1.3195806094469E-5</v>
      </c>
      <c r="K2328" s="7" cm="1">
        <f t="array" ref="K2328">SUMPRODUCT(("SUP_WSTHTGBIOCCS"=[1]OUT_SyntheticFuels!$C$4:$C$1000)*1,("var_ncap"=[1]OUT_SyntheticFuels!$B$4:$B$1000)*1,[1]OUT_SyntheticFuels!J$4:J$1000)</f>
        <v>3.9160977193191896E-3</v>
      </c>
    </row>
    <row r="2329" spans="2:11" x14ac:dyDescent="0.35">
      <c r="B2329" s="5" t="str">
        <f t="shared" si="1354"/>
        <v>SPS3</v>
      </c>
      <c r="C2329" s="5" t="str">
        <f t="shared" si="1355"/>
        <v>CH</v>
      </c>
      <c r="D2329" t="s">
        <v>2471</v>
      </c>
      <c r="E2329" t="s">
        <v>2157</v>
      </c>
      <c r="F2329" s="7" cm="1">
        <f t="array" ref="F2329">SUMPRODUCT(("SUP_WODBIO"=[1]OUT_SyntheticFuels!$C$4:$C$1000)*1,("var_ncap"=[1]OUT_SyntheticFuels!$B$4:$B$1000)*1,[1]OUT_SyntheticFuels!E$4:E$1000)</f>
        <v>1.4390455458596599E-6</v>
      </c>
      <c r="G2329" s="7" cm="1">
        <f t="array" ref="G2329">SUMPRODUCT(("SUP_WODBIO"=[1]OUT_SyntheticFuels!$C$4:$C$1000)*1,("var_ncap"=[1]OUT_SyntheticFuels!$B$4:$B$1000)*1,[1]OUT_SyntheticFuels!F$4:F$1000)</f>
        <v>5.07151813019096E-5</v>
      </c>
      <c r="H2329" s="7" cm="1">
        <f t="array" ref="H2329">SUMPRODUCT(("SUP_WODBIO"=[1]OUT_SyntheticFuels!$C$4:$C$1000)*1,("var_ncap"=[1]OUT_SyntheticFuels!$B$4:$B$1000)*1,[1]OUT_SyntheticFuels!G$4:G$1000)</f>
        <v>4.3205475854968701E-5</v>
      </c>
      <c r="I2329" s="7" cm="1">
        <f t="array" ref="I2329">SUMPRODUCT(("SUP_WODBIO"=[1]OUT_SyntheticFuels!$C$4:$C$1000)*1,("var_ncap"=[1]OUT_SyntheticFuels!$B$4:$B$1000)*1,[1]OUT_SyntheticFuels!H$4:H$1000)</f>
        <v>1.3199046455563801E-4</v>
      </c>
      <c r="J2329" s="7" cm="1">
        <f t="array" ref="J2329">SUMPRODUCT(("SUP_WODBIO"=[1]OUT_SyntheticFuels!$C$4:$C$1000)*1,("var_ncap"=[1]OUT_SyntheticFuels!$B$4:$B$1000)*1,[1]OUT_SyntheticFuels!I$4:I$1000)</f>
        <v>0.253553131756935</v>
      </c>
      <c r="K2329" s="7" cm="1">
        <f t="array" ref="K2329">SUMPRODUCT(("SUP_WODBIO"=[1]OUT_SyntheticFuels!$C$4:$C$1000)*1,("var_ncap"=[1]OUT_SyntheticFuels!$B$4:$B$1000)*1,[1]OUT_SyntheticFuels!J$4:J$1000)</f>
        <v>5.3366565080179999E-7</v>
      </c>
    </row>
    <row r="2330" spans="2:11" x14ac:dyDescent="0.35">
      <c r="B2330" s="5" t="str">
        <f t="shared" si="1354"/>
        <v>SPS3</v>
      </c>
      <c r="C2330" s="5" t="str">
        <f t="shared" si="1355"/>
        <v>CH</v>
      </c>
      <c r="D2330" t="s">
        <v>2472</v>
      </c>
      <c r="E2330" t="s">
        <v>2157</v>
      </c>
      <c r="F2330" s="7" cm="1">
        <f t="array" ref="F2330">SUMPRODUCT(("SUP_WODBIOCCS"=[1]OUT_SyntheticFuels!$C$4:$C$1000)*1,("var_ncap"=[1]OUT_SyntheticFuels!$B$4:$B$1000)*1,[1]OUT_SyntheticFuels!E$4:E$1000)</f>
        <v>0</v>
      </c>
      <c r="G2330" s="7" cm="1">
        <f t="array" ref="G2330">SUMPRODUCT(("SUP_WODBIOCCS"=[1]OUT_SyntheticFuels!$C$4:$C$1000)*1,("var_ncap"=[1]OUT_SyntheticFuels!$B$4:$B$1000)*1,[1]OUT_SyntheticFuels!F$4:F$1000)</f>
        <v>0</v>
      </c>
      <c r="H2330" s="7" cm="1">
        <f t="array" ref="H2330">SUMPRODUCT(("SUP_WODBIOCCS"=[1]OUT_SyntheticFuels!$C$4:$C$1000)*1,("var_ncap"=[1]OUT_SyntheticFuels!$B$4:$B$1000)*1,[1]OUT_SyntheticFuels!G$4:G$1000)</f>
        <v>0</v>
      </c>
      <c r="I2330" s="7" cm="1">
        <f t="array" ref="I2330">SUMPRODUCT(("SUP_WODBIOCCS"=[1]OUT_SyntheticFuels!$C$4:$C$1000)*1,("var_ncap"=[1]OUT_SyntheticFuels!$B$4:$B$1000)*1,[1]OUT_SyntheticFuels!H$4:H$1000)</f>
        <v>0</v>
      </c>
      <c r="J2330" s="7" cm="1">
        <f t="array" ref="J2330">SUMPRODUCT(("SUP_WODBIOCCS"=[1]OUT_SyntheticFuels!$C$4:$C$1000)*1,("var_ncap"=[1]OUT_SyntheticFuels!$B$4:$B$1000)*1,[1]OUT_SyntheticFuels!I$4:I$1000)</f>
        <v>3.4215694243877898E-5</v>
      </c>
      <c r="K2330" s="7" cm="1">
        <f t="array" ref="K2330">SUMPRODUCT(("SUP_WODBIOCCS"=[1]OUT_SyntheticFuels!$C$4:$C$1000)*1,("var_ncap"=[1]OUT_SyntheticFuels!$B$4:$B$1000)*1,[1]OUT_SyntheticFuels!J$4:J$1000)</f>
        <v>1.7361225840340101E-2</v>
      </c>
    </row>
    <row r="2331" spans="2:11" x14ac:dyDescent="0.35">
      <c r="B2331" s="5" t="str">
        <f t="shared" si="1354"/>
        <v>SPS3</v>
      </c>
      <c r="C2331" s="5" t="str">
        <f t="shared" si="1355"/>
        <v>CH</v>
      </c>
      <c r="D2331" t="s">
        <v>2473</v>
      </c>
      <c r="E2331" t="s">
        <v>2157</v>
      </c>
      <c r="F2331" s="7" cm="1">
        <f t="array" ref="F2331">SUMPRODUCT(("SUP_BIONGA"=[1]OUT_SyntheticFuels!$C$4:$C$1000)*1,("var_ncap"=[1]OUT_SyntheticFuels!$B$4:$B$1000)*1,[1]OUT_SyntheticFuels!E$4:E$1000)</f>
        <v>1.43394435234419E-2</v>
      </c>
      <c r="G2331" s="7" cm="1">
        <f t="array" ref="G2331">SUMPRODUCT(("SUP_BIONGA"=[1]OUT_SyntheticFuels!$C$4:$C$1000)*1,("var_ncap"=[1]OUT_SyntheticFuels!$B$4:$B$1000)*1,[1]OUT_SyntheticFuels!F$4:F$1000)</f>
        <v>0.101411873164079</v>
      </c>
      <c r="H2331" s="7" cm="1">
        <f t="array" ref="H2331">SUMPRODUCT(("SUP_BIONGA"=[1]OUT_SyntheticFuels!$C$4:$C$1000)*1,("var_ncap"=[1]OUT_SyntheticFuels!$B$4:$B$1000)*1,[1]OUT_SyntheticFuels!G$4:G$1000)</f>
        <v>5.9909045450908201E-6</v>
      </c>
      <c r="I2331" s="7" cm="1">
        <f t="array" ref="I2331">SUMPRODUCT(("SUP_BIONGA"=[1]OUT_SyntheticFuels!$C$4:$C$1000)*1,("var_ncap"=[1]OUT_SyntheticFuels!$B$4:$B$1000)*1,[1]OUT_SyntheticFuels!H$4:H$1000)</f>
        <v>3.1266540891791497E-2</v>
      </c>
      <c r="J2331" s="7" cm="1">
        <f t="array" ref="J2331">SUMPRODUCT(("SUP_BIONGA"=[1]OUT_SyntheticFuels!$C$4:$C$1000)*1,("var_ncap"=[1]OUT_SyntheticFuels!$B$4:$B$1000)*1,[1]OUT_SyntheticFuels!I$4:I$1000)</f>
        <v>0.27031337266053701</v>
      </c>
      <c r="K2331" s="7" cm="1">
        <f t="array" ref="K2331">SUMPRODUCT(("SUP_BIONGA"=[1]OUT_SyntheticFuels!$C$4:$C$1000)*1,("var_ncap"=[1]OUT_SyntheticFuels!$B$4:$B$1000)*1,[1]OUT_SyntheticFuels!J$4:J$1000)</f>
        <v>0.17020373272707201</v>
      </c>
    </row>
    <row r="2332" spans="2:11" x14ac:dyDescent="0.35">
      <c r="B2332" s="5" t="str">
        <f t="shared" si="1354"/>
        <v>SPS3</v>
      </c>
      <c r="C2332" s="5" t="str">
        <f t="shared" si="1355"/>
        <v>CH</v>
      </c>
      <c r="D2332" t="s">
        <v>2474</v>
      </c>
      <c r="E2332" t="s">
        <v>2157</v>
      </c>
      <c r="F2332" s="7" cm="1">
        <f t="array" ref="F2332">SUMPRODUCT(("CT_CWODPLT"=[1]OUT_SyntheticFuels!$C$4:$C$1000)*1,("var_ncap"=[1]OUT_SyntheticFuels!$B$4:$B$1000)*1,[1]OUT_SyntheticFuels!E$4:E$1000)</f>
        <v>0.1539756675376</v>
      </c>
      <c r="G2332" s="7" cm="1">
        <f t="array" ref="G2332">SUMPRODUCT(("CT_CWODPLT"=[1]OUT_SyntheticFuels!$C$4:$C$1000)*1,("var_ncap"=[1]OUT_SyntheticFuels!$B$4:$B$1000)*1,[1]OUT_SyntheticFuels!F$4:F$1000)</f>
        <v>5.3670035100998E-2</v>
      </c>
      <c r="H2332" s="7" cm="1">
        <f t="array" ref="H2332">SUMPRODUCT(("CT_CWODPLT"=[1]OUT_SyntheticFuels!$C$4:$C$1000)*1,("var_ncap"=[1]OUT_SyntheticFuels!$B$4:$B$1000)*1,[1]OUT_SyntheticFuels!G$4:G$1000)</f>
        <v>2.7333603078012898E-6</v>
      </c>
      <c r="I2332" s="7" cm="1">
        <f t="array" ref="I2332">SUMPRODUCT(("CT_CWODPLT"=[1]OUT_SyntheticFuels!$C$4:$C$1000)*1,("var_ncap"=[1]OUT_SyntheticFuels!$B$4:$B$1000)*1,[1]OUT_SyntheticFuels!H$4:H$1000)</f>
        <v>2.8959242351655801E-6</v>
      </c>
      <c r="J2332" s="7" cm="1">
        <f t="array" ref="J2332">SUMPRODUCT(("CT_CWODPLT"=[1]OUT_SyntheticFuels!$C$4:$C$1000)*1,("var_ncap"=[1]OUT_SyntheticFuels!$B$4:$B$1000)*1,[1]OUT_SyntheticFuels!I$4:I$1000)</f>
        <v>0.15640102902306299</v>
      </c>
      <c r="K2332" s="7" cm="1">
        <f t="array" ref="K2332">SUMPRODUCT(("CT_CWODPLT"=[1]OUT_SyntheticFuels!$C$4:$C$1000)*1,("var_ncap"=[1]OUT_SyntheticFuels!$B$4:$B$1000)*1,[1]OUT_SyntheticFuels!J$4:J$1000)</f>
        <v>6.9177699539924004E-2</v>
      </c>
    </row>
    <row r="2333" spans="2:11" x14ac:dyDescent="0.35">
      <c r="B2333" s="5" t="str">
        <f t="shared" si="1354"/>
        <v>SPS3</v>
      </c>
      <c r="C2333" s="5" t="str">
        <f t="shared" si="1355"/>
        <v>CH</v>
      </c>
      <c r="D2333" t="s">
        <v>2475</v>
      </c>
      <c r="E2333" t="s">
        <v>2157</v>
      </c>
      <c r="F2333" s="7" cm="1">
        <f t="array" ref="F2333">SUMPRODUCT(("SUP_H2NGA"=[1]OUT_SyntheticFuels!$C$4:$C$1000)*1,("var_ncap"=[1]OUT_SyntheticFuels!$B$4:$B$1000)*1,[1]OUT_SyntheticFuels!E$4:E$1000)</f>
        <v>0</v>
      </c>
      <c r="G2333" s="7" cm="1">
        <f t="array" ref="G2333">SUMPRODUCT(("SUP_H2NGA"=[1]OUT_SyntheticFuels!$C$4:$C$1000)*1,("var_ncap"=[1]OUT_SyntheticFuels!$B$4:$B$1000)*1,[1]OUT_SyntheticFuels!F$4:F$1000)</f>
        <v>0</v>
      </c>
      <c r="H2333" s="7" cm="1">
        <f t="array" ref="H2333">SUMPRODUCT(("SUP_H2NGA"=[1]OUT_SyntheticFuels!$C$4:$C$1000)*1,("var_ncap"=[1]OUT_SyntheticFuels!$B$4:$B$1000)*1,[1]OUT_SyntheticFuels!G$4:G$1000)</f>
        <v>0</v>
      </c>
      <c r="I2333" s="7" cm="1">
        <f t="array" ref="I2333">SUMPRODUCT(("SUP_H2NGA"=[1]OUT_SyntheticFuels!$C$4:$C$1000)*1,("var_ncap"=[1]OUT_SyntheticFuels!$B$4:$B$1000)*1,[1]OUT_SyntheticFuels!H$4:H$1000)</f>
        <v>1.4436994448577301E-6</v>
      </c>
      <c r="J2333" s="7" cm="1">
        <f t="array" ref="J2333">SUMPRODUCT(("SUP_H2NGA"=[1]OUT_SyntheticFuels!$C$4:$C$1000)*1,("var_ncap"=[1]OUT_SyntheticFuels!$B$4:$B$1000)*1,[1]OUT_SyntheticFuels!I$4:I$1000)</f>
        <v>0.147770321590068</v>
      </c>
      <c r="K2333" s="7" cm="1">
        <f t="array" ref="K2333">SUMPRODUCT(("SUP_H2NGA"=[1]OUT_SyntheticFuels!$C$4:$C$1000)*1,("var_ncap"=[1]OUT_SyntheticFuels!$B$4:$B$1000)*1,[1]OUT_SyntheticFuels!J$4:J$1000)</f>
        <v>1.8326133314311999E-6</v>
      </c>
    </row>
    <row r="2334" spans="2:11" x14ac:dyDescent="0.35">
      <c r="B2334" s="5" t="str">
        <f t="shared" si="1354"/>
        <v>SPS3</v>
      </c>
      <c r="C2334" s="5" t="str">
        <f t="shared" si="1355"/>
        <v>CH</v>
      </c>
      <c r="D2334" t="s">
        <v>2476</v>
      </c>
      <c r="E2334" t="s">
        <v>2157</v>
      </c>
      <c r="F2334" s="7" cm="1">
        <f t="array" ref="F2334">SUMPRODUCT(("SUP_H2DSL"=[1]OUT_SyntheticFuels!$C$4:$C$1000)*1,("var_ncap"=[1]OUT_SyntheticFuels!$B$4:$B$1000)*1,[1]OUT_SyntheticFuels!E$4:E$1000)</f>
        <v>0</v>
      </c>
      <c r="G2334" s="7" cm="1">
        <f t="array" ref="G2334">SUMPRODUCT(("SUP_H2DSL"=[1]OUT_SyntheticFuels!$C$4:$C$1000)*1,("var_ncap"=[1]OUT_SyntheticFuels!$B$4:$B$1000)*1,[1]OUT_SyntheticFuels!F$4:F$1000)</f>
        <v>0</v>
      </c>
      <c r="H2334" s="7" cm="1">
        <f t="array" ref="H2334">SUMPRODUCT(("SUP_H2DSL"=[1]OUT_SyntheticFuels!$C$4:$C$1000)*1,("var_ncap"=[1]OUT_SyntheticFuels!$B$4:$B$1000)*1,[1]OUT_SyntheticFuels!G$4:G$1000)</f>
        <v>0</v>
      </c>
      <c r="I2334" s="7" cm="1">
        <f t="array" ref="I2334">SUMPRODUCT(("SUP_H2DSL"=[1]OUT_SyntheticFuels!$C$4:$C$1000)*1,("var_ncap"=[1]OUT_SyntheticFuels!$B$4:$B$1000)*1,[1]OUT_SyntheticFuels!H$4:H$1000)</f>
        <v>3.2692834308237599E-6</v>
      </c>
      <c r="J2334" s="7" cm="1">
        <f t="array" ref="J2334">SUMPRODUCT(("SUP_H2DSL"=[1]OUT_SyntheticFuels!$C$4:$C$1000)*1,("var_ncap"=[1]OUT_SyntheticFuels!$B$4:$B$1000)*1,[1]OUT_SyntheticFuels!I$4:I$1000)</f>
        <v>4.9405963343142397E-3</v>
      </c>
      <c r="K2334" s="7" cm="1">
        <f t="array" ref="K2334">SUMPRODUCT(("SUP_H2DSL"=[1]OUT_SyntheticFuels!$C$4:$C$1000)*1,("var_ncap"=[1]OUT_SyntheticFuels!$B$4:$B$1000)*1,[1]OUT_SyntheticFuels!J$4:J$1000)</f>
        <v>0.59931468948357602</v>
      </c>
    </row>
    <row r="2335" spans="2:11" x14ac:dyDescent="0.35">
      <c r="B2335" s="5" t="str">
        <f t="shared" si="1354"/>
        <v>SPS3</v>
      </c>
      <c r="C2335" s="5" t="str">
        <f t="shared" si="1355"/>
        <v>CH</v>
      </c>
      <c r="D2335" t="s">
        <v>2477</v>
      </c>
      <c r="E2335" t="s">
        <v>2157</v>
      </c>
      <c r="F2335" s="7" cm="1">
        <f t="array" ref="F2335">SUMPRODUCT(("SUP_H2GSL"=[1]OUT_SyntheticFuels!$C$4:$C$1000)*1,("var_ncap"=[1]OUT_SyntheticFuels!$B$4:$B$1000)*1,[1]OUT_SyntheticFuels!E$4:E$1000)</f>
        <v>0</v>
      </c>
      <c r="G2335" s="7" cm="1">
        <f t="array" ref="G2335">SUMPRODUCT(("SUP_H2GSL"=[1]OUT_SyntheticFuels!$C$4:$C$1000)*1,("var_ncap"=[1]OUT_SyntheticFuels!$B$4:$B$1000)*1,[1]OUT_SyntheticFuels!F$4:F$1000)</f>
        <v>0</v>
      </c>
      <c r="H2335" s="7" cm="1">
        <f t="array" ref="H2335">SUMPRODUCT(("SUP_H2GSL"=[1]OUT_SyntheticFuels!$C$4:$C$1000)*1,("var_ncap"=[1]OUT_SyntheticFuels!$B$4:$B$1000)*1,[1]OUT_SyntheticFuels!G$4:G$1000)</f>
        <v>0</v>
      </c>
      <c r="I2335" s="7" cm="1">
        <f t="array" ref="I2335">SUMPRODUCT(("SUP_H2GSL"=[1]OUT_SyntheticFuels!$C$4:$C$1000)*1,("var_ncap"=[1]OUT_SyntheticFuels!$B$4:$B$1000)*1,[1]OUT_SyntheticFuels!H$4:H$1000)</f>
        <v>5.4441547980824197E-6</v>
      </c>
      <c r="J2335" s="7" cm="1">
        <f t="array" ref="J2335">SUMPRODUCT(("SUP_H2GSL"=[1]OUT_SyntheticFuels!$C$4:$C$1000)*1,("var_ncap"=[1]OUT_SyntheticFuels!$B$4:$B$1000)*1,[1]OUT_SyntheticFuels!I$4:I$1000)</f>
        <v>0.17430833380174501</v>
      </c>
      <c r="K2335" s="7" cm="1">
        <f t="array" ref="K2335">SUMPRODUCT(("SUP_H2GSL"=[1]OUT_SyntheticFuels!$C$4:$C$1000)*1,("var_ncap"=[1]OUT_SyntheticFuels!$B$4:$B$1000)*1,[1]OUT_SyntheticFuels!J$4:J$1000)</f>
        <v>1.37428125123244E-6</v>
      </c>
    </row>
  </sheetData>
  <sortState xmlns:xlrd2="http://schemas.microsoft.com/office/spreadsheetml/2017/richdata2" ref="D1572:D1574">
    <sortCondition ref="D1572:D1574"/>
  </sortState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1720</v>
      </c>
      <c r="C3" s="3">
        <f>SUM(C4:C7)</f>
        <v>716.98680736124766</v>
      </c>
      <c r="D3" s="3">
        <f t="shared" ref="D3:H3" si="0">SUM(D4:D7)</f>
        <v>703.7761141920389</v>
      </c>
      <c r="E3" s="3">
        <f t="shared" si="0"/>
        <v>684.4658535646555</v>
      </c>
      <c r="F3" s="3">
        <f t="shared" si="0"/>
        <v>609.72540375768153</v>
      </c>
      <c r="G3" s="3">
        <f t="shared" si="0"/>
        <v>483.33703209709745</v>
      </c>
      <c r="H3" s="3">
        <f t="shared" si="0"/>
        <v>414.44373330350152</v>
      </c>
    </row>
    <row r="4" spans="2:8" x14ac:dyDescent="0.35">
      <c r="B4" s="25" t="s">
        <v>1728</v>
      </c>
      <c r="C4" s="1">
        <f>'SPS3'!F761</f>
        <v>142.21812671534803</v>
      </c>
      <c r="D4" s="1">
        <f>'SPS3'!G761</f>
        <v>141.20304351642778</v>
      </c>
      <c r="E4" s="1">
        <f>'SPS3'!H761</f>
        <v>142.25371994238435</v>
      </c>
      <c r="F4" s="1">
        <f>'SPS3'!I761</f>
        <v>132.107506347238</v>
      </c>
      <c r="G4" s="1">
        <f>'SPS3'!J761</f>
        <v>113.99442542763612</v>
      </c>
      <c r="H4" s="1">
        <f>'SPS3'!K761</f>
        <v>101.52818515069839</v>
      </c>
    </row>
    <row r="5" spans="2:8" x14ac:dyDescent="0.35">
      <c r="B5" s="25" t="s">
        <v>1729</v>
      </c>
      <c r="C5" s="1">
        <f>'SPS3'!F880</f>
        <v>140.10135104556244</v>
      </c>
      <c r="D5" s="1">
        <f>'SPS3'!G880</f>
        <v>137.10244044957781</v>
      </c>
      <c r="E5" s="1">
        <f>'SPS3'!H880</f>
        <v>132.25032810184419</v>
      </c>
      <c r="F5" s="1">
        <f>'SPS3'!I880</f>
        <v>118.32714440784177</v>
      </c>
      <c r="G5" s="1">
        <f>'SPS3'!J880</f>
        <v>98.757696898811474</v>
      </c>
      <c r="H5" s="1">
        <f>'SPS3'!K880</f>
        <v>81.989097579904552</v>
      </c>
    </row>
    <row r="6" spans="2:8" x14ac:dyDescent="0.35">
      <c r="B6" s="25" t="s">
        <v>1730</v>
      </c>
      <c r="C6" s="1">
        <f>'SPS3'!F970</f>
        <v>219.86740088572449</v>
      </c>
      <c r="D6" s="1">
        <f>'SPS3'!G970</f>
        <v>216.38751629293625</v>
      </c>
      <c r="E6" s="1">
        <f>'SPS3'!H970</f>
        <v>219.31662695682789</v>
      </c>
      <c r="F6" s="1">
        <f>'SPS3'!I970</f>
        <v>196.25134091715347</v>
      </c>
      <c r="G6" s="1">
        <f>'SPS3'!J970</f>
        <v>167.87962807759533</v>
      </c>
      <c r="H6" s="1">
        <f>'SPS3'!K970</f>
        <v>143.04504581429575</v>
      </c>
    </row>
    <row r="7" spans="2:8" x14ac:dyDescent="0.35">
      <c r="B7" s="25" t="s">
        <v>1731</v>
      </c>
      <c r="C7" s="1">
        <f>'SPS3'!F1134+'SPS3'!F1313+'SPS3'!F1397+'SPS3'!F1481+'SPS3'!F1488+'SPS3'!F1495+'SPS3'!F1544+'SPS3'!F1591+'SPS3'!F1638</f>
        <v>214.79992871461269</v>
      </c>
      <c r="D7" s="1">
        <f>'SPS3'!G1134+'SPS3'!G1313+'SPS3'!G1397+'SPS3'!G1481+'SPS3'!G1488+'SPS3'!G1495+'SPS3'!G1544+'SPS3'!G1591+'SPS3'!G1638</f>
        <v>209.08311393309702</v>
      </c>
      <c r="E7" s="1">
        <f>'SPS3'!H1134+'SPS3'!H1313+'SPS3'!H1397+'SPS3'!H1481+'SPS3'!H1488+'SPS3'!H1495+'SPS3'!H1544+'SPS3'!H1591+'SPS3'!H1638</f>
        <v>190.6451785635991</v>
      </c>
      <c r="F7" s="1">
        <f>'SPS3'!I1134+'SPS3'!I1313+'SPS3'!I1397+'SPS3'!I1481+'SPS3'!I1488+'SPS3'!I1495+'SPS3'!I1544+'SPS3'!I1591+'SPS3'!I1638</f>
        <v>163.03941208544825</v>
      </c>
      <c r="G7" s="1">
        <f>'SPS3'!J1134+'SPS3'!J1313+'SPS3'!J1397+'SPS3'!J1481+'SPS3'!J1488+'SPS3'!J1495+'SPS3'!J1544+'SPS3'!J1591+'SPS3'!J1638</f>
        <v>102.70528169305453</v>
      </c>
      <c r="H7" s="1">
        <f>'SPS3'!K1134+'SPS3'!K1313+'SPS3'!K1397+'SPS3'!K1481+'SPS3'!K1488+'SPS3'!K1495+'SPS3'!K1544+'SPS3'!K1591+'SPS3'!K1638</f>
        <v>87.881404758602827</v>
      </c>
    </row>
    <row r="8" spans="2:8" x14ac:dyDescent="0.35">
      <c r="B8" s="2" t="s">
        <v>1736</v>
      </c>
      <c r="C8" s="3">
        <f>SUM(C9:C12)</f>
        <v>509.70286057337267</v>
      </c>
      <c r="D8" s="3">
        <f t="shared" ref="D8:H8" si="1">SUM(D9:D12)</f>
        <v>504.97416866337613</v>
      </c>
      <c r="E8" s="3">
        <f t="shared" si="1"/>
        <v>462.06552625879573</v>
      </c>
      <c r="F8" s="3">
        <f t="shared" si="1"/>
        <v>535.79390650329981</v>
      </c>
      <c r="G8" s="3">
        <f t="shared" si="1"/>
        <v>460.45031771886761</v>
      </c>
      <c r="H8" s="3">
        <f t="shared" si="1"/>
        <v>438.79517066509572</v>
      </c>
    </row>
    <row r="9" spans="2:8" x14ac:dyDescent="0.35">
      <c r="B9" s="25" t="s">
        <v>1733</v>
      </c>
      <c r="C9" s="1">
        <f>'SPS3'!F289+'SPS3'!F407</f>
        <v>493.41870851507679</v>
      </c>
      <c r="D9" s="1">
        <f>'SPS3'!G289+'SPS3'!G407</f>
        <v>479.02651266267821</v>
      </c>
      <c r="E9" s="1">
        <f>'SPS3'!H289+'SPS3'!H407</f>
        <v>436.27273684765908</v>
      </c>
      <c r="F9" s="1">
        <f>'SPS3'!I289+'SPS3'!I407</f>
        <v>509.56454455649782</v>
      </c>
      <c r="G9" s="1">
        <f>'SPS3'!J289+'SPS3'!J407</f>
        <v>410.25097560576671</v>
      </c>
      <c r="H9" s="1">
        <f>'SPS3'!K289+'SPS3'!K407</f>
        <v>361.1628266040907</v>
      </c>
    </row>
    <row r="10" spans="2:8" x14ac:dyDescent="0.35">
      <c r="B10" s="25" t="s">
        <v>1734</v>
      </c>
      <c r="C10" s="1">
        <f>'SPS3'!F588+'SPS3'!F602+'SPS3'!F642</f>
        <v>16.278736352592144</v>
      </c>
      <c r="D10" s="1">
        <f>'SPS3'!G588+'SPS3'!G602+'SPS3'!G642</f>
        <v>25.940343946505596</v>
      </c>
      <c r="E10" s="1">
        <f>'SPS3'!H588+'SPS3'!H602+'SPS3'!H642</f>
        <v>25.785393272220599</v>
      </c>
      <c r="F10" s="1">
        <f>'SPS3'!I588+'SPS3'!I602+'SPS3'!I642</f>
        <v>26.218986677854769</v>
      </c>
      <c r="G10" s="1">
        <f>'SPS3'!J588+'SPS3'!J602+'SPS3'!J642</f>
        <v>41.873617571738585</v>
      </c>
      <c r="H10" s="1">
        <f>'SPS3'!K588+'SPS3'!K602+'SPS3'!K642</f>
        <v>53.541509868313014</v>
      </c>
    </row>
    <row r="11" spans="2:8" x14ac:dyDescent="0.35">
      <c r="B11" s="25" t="s">
        <v>1732</v>
      </c>
      <c r="C11" s="1">
        <f>'SPS3'!F677</f>
        <v>5.4157057037651571E-3</v>
      </c>
      <c r="D11" s="1">
        <f>'SPS3'!G677</f>
        <v>7.3120541922887233E-3</v>
      </c>
      <c r="E11" s="1">
        <f>'SPS3'!H677</f>
        <v>7.3961389160696975E-3</v>
      </c>
      <c r="F11" s="1">
        <f>'SPS3'!I677</f>
        <v>1.0375268947254443E-2</v>
      </c>
      <c r="G11" s="1">
        <f>'SPS3'!J677</f>
        <v>8.3257091043434226</v>
      </c>
      <c r="H11" s="1">
        <f>'SPS3'!K677</f>
        <v>24.090401364974888</v>
      </c>
    </row>
    <row r="12" spans="2:8" x14ac:dyDescent="0.35">
      <c r="B12" s="25" t="s">
        <v>1735</v>
      </c>
      <c r="C12" s="1">
        <f>'SPS3'!F1702</f>
        <v>0</v>
      </c>
      <c r="D12" s="1">
        <f>'SPS3'!G1702</f>
        <v>0</v>
      </c>
      <c r="E12" s="1">
        <f>'SPS3'!H1702</f>
        <v>0</v>
      </c>
      <c r="F12" s="1">
        <f>'SPS3'!I1702</f>
        <v>0</v>
      </c>
      <c r="G12" s="1">
        <f>'SPS3'!J1702</f>
        <v>1.5437018865020001E-5</v>
      </c>
      <c r="H12" s="1">
        <f>'SPS3'!K1702</f>
        <v>4.3282771712290511E-4</v>
      </c>
    </row>
    <row r="13" spans="2:8" x14ac:dyDescent="0.35">
      <c r="B13" s="2" t="s">
        <v>1737</v>
      </c>
      <c r="C13" s="3">
        <f>'SPS3'!F2+'SPS3'!F20-'SPS3'!F55</f>
        <v>963.4438240122206</v>
      </c>
      <c r="D13" s="3">
        <f>'SPS3'!G2+'SPS3'!G20-'SPS3'!G55</f>
        <v>966.2008531864592</v>
      </c>
      <c r="E13" s="3">
        <f>'SPS3'!H2+'SPS3'!H20-'SPS3'!H55</f>
        <v>881.37338020002335</v>
      </c>
      <c r="F13" s="3">
        <f>'SPS3'!I2+'SPS3'!I20-'SPS3'!I55</f>
        <v>874.65537678458668</v>
      </c>
      <c r="G13" s="3">
        <f>'SPS3'!J2+'SPS3'!J20-'SPS3'!J55</f>
        <v>663.44446988756147</v>
      </c>
      <c r="H13" s="3">
        <f>'SPS3'!K2+'SPS3'!K20-'SPS3'!K55</f>
        <v>563.19673466420284</v>
      </c>
    </row>
    <row r="14" spans="2:8" x14ac:dyDescent="0.35">
      <c r="B14" s="25" t="s">
        <v>1738</v>
      </c>
      <c r="C14" s="1">
        <f>'SPS3'!F2</f>
        <v>300.1867828821529</v>
      </c>
      <c r="D14" s="1">
        <f>'SPS3'!G2</f>
        <v>295.40443066709389</v>
      </c>
      <c r="E14" s="1">
        <f>'SPS3'!H2</f>
        <v>336.83424968553993</v>
      </c>
      <c r="F14" s="1">
        <f>'SPS3'!I2</f>
        <v>417.25182021899485</v>
      </c>
      <c r="G14" s="1">
        <f>'SPS3'!J2</f>
        <v>453.7564029280914</v>
      </c>
      <c r="H14" s="1">
        <f>'SPS3'!K2</f>
        <v>501.77095635558567</v>
      </c>
    </row>
    <row r="15" spans="2:8" x14ac:dyDescent="0.35">
      <c r="B15" s="25" t="s">
        <v>19</v>
      </c>
      <c r="C15" s="1">
        <f>'SPS3'!F20</f>
        <v>780.42710453845007</v>
      </c>
      <c r="D15" s="1">
        <f>'SPS3'!G20</f>
        <v>705.94703373887546</v>
      </c>
      <c r="E15" s="1">
        <f>'SPS3'!H20</f>
        <v>599.33439886589451</v>
      </c>
      <c r="F15" s="1">
        <f>'SPS3'!I20</f>
        <v>508.14690190795403</v>
      </c>
      <c r="G15" s="1">
        <f>'SPS3'!J20</f>
        <v>231.06475873613459</v>
      </c>
      <c r="H15" s="1">
        <f>'SPS3'!K20</f>
        <v>81.696255216463271</v>
      </c>
    </row>
    <row r="16" spans="2:8" x14ac:dyDescent="0.35">
      <c r="B16" s="25" t="s">
        <v>24</v>
      </c>
      <c r="C16" s="1">
        <f>'SPS3'!F55</f>
        <v>117.17006340838242</v>
      </c>
      <c r="D16" s="1">
        <f>'SPS3'!G55</f>
        <v>35.150611219510232</v>
      </c>
      <c r="E16" s="1">
        <f>'SPS3'!H55</f>
        <v>54.795268351411096</v>
      </c>
      <c r="F16" s="1">
        <f>'SPS3'!I55</f>
        <v>50.743345342362204</v>
      </c>
      <c r="G16" s="1">
        <f>'SPS3'!J55</f>
        <v>21.376691776664575</v>
      </c>
      <c r="H16" s="1">
        <f>'SPS3'!K55</f>
        <v>20.270476907846064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C8C03ABD37349B85E16C79D0BC86D" ma:contentTypeVersion="15" ma:contentTypeDescription="Create a new document." ma:contentTypeScope="" ma:versionID="e0c4c809cdd1f4d681ffe254c15b0eea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474854dce0ec48aabc248446e7a68ac4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F568408E-4D3C-4709-9867-C1E61E259009}"/>
</file>

<file path=customXml/itemProps2.xml><?xml version="1.0" encoding="utf-8"?>
<ds:datastoreItem xmlns:ds="http://schemas.openxmlformats.org/officeDocument/2006/customXml" ds:itemID="{C771A2AA-CFCC-4672-8AF0-7AA5F9833B48}"/>
</file>

<file path=customXml/itemProps3.xml><?xml version="1.0" encoding="utf-8"?>
<ds:datastoreItem xmlns:ds="http://schemas.openxmlformats.org/officeDocument/2006/customXml" ds:itemID="{3D5D2899-9184-42EE-9B05-19E85534D1E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2025-09-28T17:43:40Z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